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gens_01\sciebo\02 projects\01_MVA\08 Webseite\04 Excel example\"/>
    </mc:Choice>
  </mc:AlternateContent>
  <bookViews>
    <workbookView xWindow="0" yWindow="0" windowWidth="28800" windowHeight="13500" tabRatio="664"/>
  </bookViews>
  <sheets>
    <sheet name="Disclaimer" sheetId="7" r:id="rId1"/>
    <sheet name="Inhaltsverzeichnis" sheetId="8" r:id="rId2"/>
    <sheet name="CA Daten" sheetId="1" r:id="rId3"/>
    <sheet name="CA Daten Teilnutzenwertmodell" sheetId="2" r:id="rId4"/>
    <sheet name="CA Ergebnisse TNW" sheetId="10" r:id="rId5"/>
    <sheet name="CA Daten gemischtes Modell" sheetId="5" r:id="rId6"/>
    <sheet name="CA Ergebnisse gemischtes Modell" sheetId="6" r:id="rId7"/>
    <sheet name="CBC analysis" sheetId="9" r:id="rId8"/>
  </sheets>
  <definedNames>
    <definedName name="solver_adj" localSheetId="7" hidden="1">'CBC analysis'!$F$24:$I$24</definedName>
    <definedName name="solver_cvg" localSheetId="7" hidden="1">0.0001</definedName>
    <definedName name="solver_drv" localSheetId="7" hidden="1">2</definedName>
    <definedName name="solver_eng" localSheetId="3" hidden="1">1</definedName>
    <definedName name="solver_eng" localSheetId="7" hidden="1">1</definedName>
    <definedName name="solver_est" localSheetId="7" hidden="1">1</definedName>
    <definedName name="solver_itr" localSheetId="7" hidden="1">2147483647</definedName>
    <definedName name="solver_mip" localSheetId="7" hidden="1">2147483647</definedName>
    <definedName name="solver_mni" localSheetId="7" hidden="1">30</definedName>
    <definedName name="solver_mrt" localSheetId="7" hidden="1">0.075</definedName>
    <definedName name="solver_msl" localSheetId="7" hidden="1">2</definedName>
    <definedName name="solver_neg" localSheetId="3" hidden="1">1</definedName>
    <definedName name="solver_neg" localSheetId="7" hidden="1">1</definedName>
    <definedName name="solver_nod" localSheetId="7" hidden="1">2147483647</definedName>
    <definedName name="solver_num" localSheetId="3" hidden="1">0</definedName>
    <definedName name="solver_num" localSheetId="7" hidden="1">0</definedName>
    <definedName name="solver_nwt" localSheetId="7" hidden="1">1</definedName>
    <definedName name="solver_opt" localSheetId="3" hidden="1">'CA Daten Teilnutzenwertmodell'!$G$54</definedName>
    <definedName name="solver_opt" localSheetId="7" hidden="1">'CBC analysis'!$Q$64</definedName>
    <definedName name="solver_pre" localSheetId="7" hidden="1">0.000001</definedName>
    <definedName name="solver_rbv" localSheetId="7" hidden="1">2</definedName>
    <definedName name="solver_rlx" localSheetId="7" hidden="1">2</definedName>
    <definedName name="solver_rsd" localSheetId="7" hidden="1">0</definedName>
    <definedName name="solver_scl" localSheetId="7" hidden="1">2</definedName>
    <definedName name="solver_sho" localSheetId="7" hidden="1">2</definedName>
    <definedName name="solver_ssz" localSheetId="7" hidden="1">100</definedName>
    <definedName name="solver_tim" localSheetId="7" hidden="1">2147483647</definedName>
    <definedName name="solver_tol" localSheetId="7" hidden="1">0.01</definedName>
    <definedName name="solver_typ" localSheetId="3" hidden="1">1</definedName>
    <definedName name="solver_typ" localSheetId="7" hidden="1">1</definedName>
    <definedName name="solver_val" localSheetId="3" hidden="1">0</definedName>
    <definedName name="solver_val" localSheetId="7" hidden="1">0</definedName>
    <definedName name="solver_ver" localSheetId="3" hidden="1">3</definedName>
    <definedName name="solver_ver" localSheetId="7" hidden="1">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0" i="6" l="1"/>
  <c r="N26" i="6"/>
  <c r="O21" i="6" s="1"/>
  <c r="N25" i="6"/>
  <c r="O25" i="6" s="1"/>
  <c r="N24" i="6"/>
  <c r="N23" i="6"/>
  <c r="O23" i="6" s="1"/>
  <c r="N22" i="6"/>
  <c r="O22" i="6" s="1"/>
  <c r="N21" i="6"/>
  <c r="J23" i="6"/>
  <c r="J22" i="6"/>
  <c r="J21" i="6"/>
  <c r="B42" i="6"/>
  <c r="K23" i="6" l="1"/>
  <c r="O24" i="6"/>
  <c r="J24" i="6"/>
  <c r="K22" i="6" l="1"/>
  <c r="K21" i="6"/>
  <c r="B43" i="10" l="1"/>
  <c r="N25" i="10"/>
  <c r="N24" i="10"/>
  <c r="N23" i="10"/>
  <c r="N22" i="10"/>
  <c r="N26" i="10" s="1"/>
  <c r="N21" i="10"/>
  <c r="J23" i="10"/>
  <c r="O20" i="10" l="1"/>
  <c r="O22" i="10"/>
  <c r="O24" i="10"/>
  <c r="O21" i="10"/>
  <c r="O23" i="10"/>
  <c r="O25" i="10"/>
  <c r="J24" i="10" l="1"/>
  <c r="J21" i="10"/>
  <c r="J22" i="10"/>
  <c r="K22" i="10" l="1"/>
  <c r="K23" i="10"/>
  <c r="K21" i="10"/>
  <c r="Q72" i="9" l="1"/>
  <c r="R79" i="9"/>
  <c r="S79" i="9" s="1"/>
  <c r="T79" i="9" s="1"/>
  <c r="R78" i="9"/>
  <c r="R77" i="9"/>
  <c r="L28" i="9"/>
  <c r="M28" i="9" s="1"/>
  <c r="Q70" i="9"/>
  <c r="Q71" i="9" s="1"/>
  <c r="P30" i="9"/>
  <c r="P31" i="9"/>
  <c r="P33" i="9"/>
  <c r="P34" i="9"/>
  <c r="P36" i="9"/>
  <c r="P38" i="9"/>
  <c r="P39" i="9"/>
  <c r="P40" i="9"/>
  <c r="P42" i="9"/>
  <c r="P43" i="9"/>
  <c r="P45" i="9"/>
  <c r="P46" i="9"/>
  <c r="P48" i="9"/>
  <c r="P49" i="9"/>
  <c r="P51" i="9"/>
  <c r="P52" i="9"/>
  <c r="P53" i="9"/>
  <c r="P55" i="9"/>
  <c r="P57" i="9"/>
  <c r="P58" i="9"/>
  <c r="P60" i="9"/>
  <c r="P61" i="9"/>
  <c r="P63" i="9"/>
  <c r="P28" i="9"/>
  <c r="L29" i="9"/>
  <c r="M29" i="9" s="1"/>
  <c r="J23" i="9"/>
  <c r="B15" i="9"/>
  <c r="AA63" i="9"/>
  <c r="Z63" i="9"/>
  <c r="Y63" i="9"/>
  <c r="X63" i="9"/>
  <c r="W63" i="9"/>
  <c r="S63" i="9"/>
  <c r="AA62" i="9"/>
  <c r="Z62" i="9"/>
  <c r="Y62" i="9"/>
  <c r="X62" i="9"/>
  <c r="W62" i="9"/>
  <c r="L62" i="9"/>
  <c r="M62" i="9" s="1"/>
  <c r="AA61" i="9"/>
  <c r="Z61" i="9"/>
  <c r="Y61" i="9"/>
  <c r="X61" i="9"/>
  <c r="W61" i="9"/>
  <c r="S61" i="9"/>
  <c r="L61" i="9"/>
  <c r="M61" i="9" s="1"/>
  <c r="AA60" i="9"/>
  <c r="Z60" i="9"/>
  <c r="Y60" i="9"/>
  <c r="X60" i="9"/>
  <c r="W60" i="9"/>
  <c r="S60" i="9"/>
  <c r="L60" i="9"/>
  <c r="M60" i="9" s="1"/>
  <c r="AA59" i="9"/>
  <c r="Z59" i="9"/>
  <c r="Y59" i="9"/>
  <c r="X59" i="9"/>
  <c r="W59" i="9"/>
  <c r="AA58" i="9"/>
  <c r="Z58" i="9"/>
  <c r="Y58" i="9"/>
  <c r="X58" i="9"/>
  <c r="W58" i="9"/>
  <c r="S58" i="9"/>
  <c r="AA57" i="9"/>
  <c r="Z57" i="9"/>
  <c r="Y57" i="9"/>
  <c r="X57" i="9"/>
  <c r="W57" i="9"/>
  <c r="S57" i="9"/>
  <c r="AA56" i="9"/>
  <c r="Z56" i="9"/>
  <c r="Y56" i="9"/>
  <c r="X56" i="9"/>
  <c r="W56" i="9"/>
  <c r="L56" i="9"/>
  <c r="M56" i="9" s="1"/>
  <c r="AA55" i="9"/>
  <c r="Z55" i="9"/>
  <c r="Y55" i="9"/>
  <c r="X55" i="9"/>
  <c r="W55" i="9"/>
  <c r="S55" i="9"/>
  <c r="L55" i="9"/>
  <c r="M55" i="9" s="1"/>
  <c r="AA54" i="9"/>
  <c r="Z54" i="9"/>
  <c r="Y54" i="9"/>
  <c r="X54" i="9"/>
  <c r="W54" i="9"/>
  <c r="L54" i="9"/>
  <c r="M54" i="9" s="1"/>
  <c r="AA53" i="9"/>
  <c r="Z53" i="9"/>
  <c r="Y53" i="9"/>
  <c r="X53" i="9"/>
  <c r="W53" i="9"/>
  <c r="S53" i="9"/>
  <c r="AA52" i="9"/>
  <c r="Z52" i="9"/>
  <c r="Y52" i="9"/>
  <c r="X52" i="9"/>
  <c r="W52" i="9"/>
  <c r="S52" i="9"/>
  <c r="AA51" i="9"/>
  <c r="Z51" i="9"/>
  <c r="Y51" i="9"/>
  <c r="X51" i="9"/>
  <c r="W51" i="9"/>
  <c r="S51" i="9"/>
  <c r="AA50" i="9"/>
  <c r="Z50" i="9"/>
  <c r="Y50" i="9"/>
  <c r="X50" i="9"/>
  <c r="W50" i="9"/>
  <c r="L50" i="9"/>
  <c r="M50" i="9" s="1"/>
  <c r="AA49" i="9"/>
  <c r="Z49" i="9"/>
  <c r="Y49" i="9"/>
  <c r="X49" i="9"/>
  <c r="W49" i="9"/>
  <c r="S49" i="9"/>
  <c r="L49" i="9"/>
  <c r="M49" i="9" s="1"/>
  <c r="AA48" i="9"/>
  <c r="Z48" i="9"/>
  <c r="Y48" i="9"/>
  <c r="X48" i="9"/>
  <c r="W48" i="9"/>
  <c r="S48" i="9"/>
  <c r="L48" i="9"/>
  <c r="M48" i="9" s="1"/>
  <c r="AA47" i="9"/>
  <c r="Z47" i="9"/>
  <c r="Y47" i="9"/>
  <c r="X47" i="9"/>
  <c r="W47" i="9"/>
  <c r="L47" i="9"/>
  <c r="M47" i="9" s="1"/>
  <c r="AA46" i="9"/>
  <c r="Z46" i="9"/>
  <c r="Y46" i="9"/>
  <c r="X46" i="9"/>
  <c r="W46" i="9"/>
  <c r="S46" i="9"/>
  <c r="L46" i="9"/>
  <c r="M46" i="9" s="1"/>
  <c r="AA45" i="9"/>
  <c r="Z45" i="9"/>
  <c r="Y45" i="9"/>
  <c r="X45" i="9"/>
  <c r="W45" i="9"/>
  <c r="S45" i="9"/>
  <c r="L45" i="9"/>
  <c r="M45" i="9" s="1"/>
  <c r="AA44" i="9"/>
  <c r="Z44" i="9"/>
  <c r="Y44" i="9"/>
  <c r="X44" i="9"/>
  <c r="W44" i="9"/>
  <c r="L44" i="9"/>
  <c r="M44" i="9" s="1"/>
  <c r="AA43" i="9"/>
  <c r="Z43" i="9"/>
  <c r="Y43" i="9"/>
  <c r="X43" i="9"/>
  <c r="W43" i="9"/>
  <c r="S43" i="9"/>
  <c r="L43" i="9"/>
  <c r="M43" i="9" s="1"/>
  <c r="AA42" i="9"/>
  <c r="Z42" i="9"/>
  <c r="Y42" i="9"/>
  <c r="X42" i="9"/>
  <c r="W42" i="9"/>
  <c r="S42" i="9"/>
  <c r="L42" i="9"/>
  <c r="M42" i="9" s="1"/>
  <c r="AA41" i="9"/>
  <c r="Z41" i="9"/>
  <c r="Y41" i="9"/>
  <c r="X41" i="9"/>
  <c r="W41" i="9"/>
  <c r="L41" i="9"/>
  <c r="M41" i="9" s="1"/>
  <c r="AA40" i="9"/>
  <c r="Z40" i="9"/>
  <c r="Y40" i="9"/>
  <c r="X40" i="9"/>
  <c r="W40" i="9"/>
  <c r="S40" i="9"/>
  <c r="L40" i="9"/>
  <c r="M40" i="9" s="1"/>
  <c r="AA39" i="9"/>
  <c r="Z39" i="9"/>
  <c r="Y39" i="9"/>
  <c r="X39" i="9"/>
  <c r="W39" i="9"/>
  <c r="S39" i="9"/>
  <c r="L39" i="9"/>
  <c r="M39" i="9" s="1"/>
  <c r="AA38" i="9"/>
  <c r="Z38" i="9"/>
  <c r="Y38" i="9"/>
  <c r="X38" i="9"/>
  <c r="W38" i="9"/>
  <c r="S38" i="9"/>
  <c r="L38" i="9"/>
  <c r="M38" i="9" s="1"/>
  <c r="AA37" i="9"/>
  <c r="Z37" i="9"/>
  <c r="Y37" i="9"/>
  <c r="X37" i="9"/>
  <c r="W37" i="9"/>
  <c r="L37" i="9"/>
  <c r="M37" i="9" s="1"/>
  <c r="S78" i="9"/>
  <c r="T78" i="9" s="1"/>
  <c r="AA36" i="9"/>
  <c r="Z36" i="9"/>
  <c r="Y36" i="9"/>
  <c r="X36" i="9"/>
  <c r="W36" i="9"/>
  <c r="S36" i="9"/>
  <c r="L36" i="9"/>
  <c r="M36" i="9" s="1"/>
  <c r="S77" i="9"/>
  <c r="T77" i="9" s="1"/>
  <c r="AA35" i="9"/>
  <c r="Z35" i="9"/>
  <c r="Y35" i="9"/>
  <c r="X35" i="9"/>
  <c r="W35" i="9"/>
  <c r="L35" i="9"/>
  <c r="M35" i="9" s="1"/>
  <c r="AA34" i="9"/>
  <c r="Z34" i="9"/>
  <c r="Y34" i="9"/>
  <c r="X34" i="9"/>
  <c r="W34" i="9"/>
  <c r="S34" i="9"/>
  <c r="L34" i="9"/>
  <c r="M34" i="9" s="1"/>
  <c r="AA33" i="9"/>
  <c r="Z33" i="9"/>
  <c r="Y33" i="9"/>
  <c r="X33" i="9"/>
  <c r="W33" i="9"/>
  <c r="S33" i="9"/>
  <c r="L33" i="9"/>
  <c r="M33" i="9" s="1"/>
  <c r="AA32" i="9"/>
  <c r="Z32" i="9"/>
  <c r="Y32" i="9"/>
  <c r="X32" i="9"/>
  <c r="W32" i="9"/>
  <c r="L32" i="9"/>
  <c r="M32" i="9" s="1"/>
  <c r="AA31" i="9"/>
  <c r="Z31" i="9"/>
  <c r="Y31" i="9"/>
  <c r="X31" i="9"/>
  <c r="W31" i="9"/>
  <c r="S31" i="9"/>
  <c r="L31" i="9"/>
  <c r="M31" i="9" s="1"/>
  <c r="AA30" i="9"/>
  <c r="Z30" i="9"/>
  <c r="Y30" i="9"/>
  <c r="X30" i="9"/>
  <c r="W30" i="9"/>
  <c r="S30" i="9"/>
  <c r="L30" i="9"/>
  <c r="M30" i="9" s="1"/>
  <c r="AA29" i="9"/>
  <c r="Z29" i="9"/>
  <c r="Y29" i="9"/>
  <c r="X29" i="9"/>
  <c r="W29" i="9"/>
  <c r="AA28" i="9"/>
  <c r="Z28" i="9"/>
  <c r="Y28" i="9"/>
  <c r="X28" i="9"/>
  <c r="W28" i="9"/>
  <c r="S28" i="9"/>
  <c r="G14" i="9"/>
  <c r="G13" i="9"/>
  <c r="G12" i="9"/>
  <c r="G11" i="9"/>
  <c r="G10" i="9" l="1"/>
  <c r="H10" i="9" s="1"/>
  <c r="L53" i="9"/>
  <c r="M53" i="9" s="1"/>
  <c r="L59" i="9"/>
  <c r="M59" i="9" s="1"/>
  <c r="L52" i="9"/>
  <c r="M52" i="9" s="1"/>
  <c r="L58" i="9"/>
  <c r="M58" i="9" s="1"/>
  <c r="L51" i="9"/>
  <c r="M51" i="9" s="1"/>
  <c r="N51" i="9" s="1"/>
  <c r="O50" i="9" s="1"/>
  <c r="P50" i="9" s="1"/>
  <c r="L57" i="9"/>
  <c r="M57" i="9" s="1"/>
  <c r="N57" i="9" s="1"/>
  <c r="O57" i="9" s="1"/>
  <c r="L63" i="9"/>
  <c r="M63" i="9" s="1"/>
  <c r="N63" i="9" s="1"/>
  <c r="O62" i="9" s="1"/>
  <c r="P62" i="9" s="1"/>
  <c r="N36" i="9"/>
  <c r="O35" i="9" s="1"/>
  <c r="P35" i="9" s="1"/>
  <c r="W64" i="9"/>
  <c r="W65" i="9" s="1"/>
  <c r="N39" i="9"/>
  <c r="O39" i="9" s="1"/>
  <c r="X64" i="9"/>
  <c r="X65" i="9" s="1"/>
  <c r="X66" i="9" s="1"/>
  <c r="G23" i="9" s="1"/>
  <c r="Y64" i="9"/>
  <c r="Y65" i="9" s="1"/>
  <c r="Z64" i="9"/>
  <c r="Z65" i="9" s="1"/>
  <c r="Z66" i="9" s="1"/>
  <c r="I23" i="9" s="1"/>
  <c r="H12" i="9"/>
  <c r="AA64" i="9"/>
  <c r="AA65" i="9" s="1"/>
  <c r="N30" i="9"/>
  <c r="O28" i="9" s="1"/>
  <c r="N42" i="9"/>
  <c r="O42" i="9" s="1"/>
  <c r="N45" i="9"/>
  <c r="O43" i="9" s="1"/>
  <c r="N33" i="9"/>
  <c r="O31" i="9" s="1"/>
  <c r="N48" i="9"/>
  <c r="O47" i="9" s="1"/>
  <c r="P47" i="9" s="1"/>
  <c r="N60" i="9" l="1"/>
  <c r="O60" i="9" s="1"/>
  <c r="Q60" i="9" s="1"/>
  <c r="N54" i="9"/>
  <c r="O54" i="9" s="1"/>
  <c r="P54" i="9" s="1"/>
  <c r="Y66" i="9"/>
  <c r="H23" i="9" s="1"/>
  <c r="W66" i="9"/>
  <c r="F23" i="9" s="1"/>
  <c r="H15" i="9"/>
  <c r="I12" i="9" s="1"/>
  <c r="O37" i="9"/>
  <c r="O55" i="9"/>
  <c r="Q55" i="9" s="1"/>
  <c r="O33" i="9"/>
  <c r="Q33" i="9" s="1"/>
  <c r="O51" i="9"/>
  <c r="O63" i="9"/>
  <c r="O30" i="9"/>
  <c r="Q30" i="9" s="1"/>
  <c r="O38" i="9"/>
  <c r="O56" i="9"/>
  <c r="P56" i="9" s="1"/>
  <c r="O36" i="9"/>
  <c r="Q36" i="9" s="1"/>
  <c r="O34" i="9"/>
  <c r="Q34" i="9" s="1"/>
  <c r="Q35" i="9"/>
  <c r="O49" i="9"/>
  <c r="O32" i="9"/>
  <c r="O61" i="9"/>
  <c r="Q61" i="9" s="1"/>
  <c r="O46" i="9"/>
  <c r="Q46" i="9" s="1"/>
  <c r="O29" i="9"/>
  <c r="P29" i="9" s="1"/>
  <c r="Q42" i="9"/>
  <c r="Q28" i="9"/>
  <c r="Q47" i="9"/>
  <c r="Q43" i="9"/>
  <c r="O44" i="9"/>
  <c r="P44" i="9" s="1"/>
  <c r="O45" i="9"/>
  <c r="O40" i="9"/>
  <c r="Q31" i="9"/>
  <c r="O41" i="9"/>
  <c r="P41" i="9" s="1"/>
  <c r="Q57" i="9"/>
  <c r="Q39" i="9"/>
  <c r="O48" i="9"/>
  <c r="Q62" i="9"/>
  <c r="Q50" i="9"/>
  <c r="O59" i="9" l="1"/>
  <c r="P59" i="9" s="1"/>
  <c r="O58" i="9"/>
  <c r="Q54" i="9"/>
  <c r="O53" i="9"/>
  <c r="O52" i="9"/>
  <c r="Q52" i="9" s="1"/>
  <c r="I10" i="9"/>
  <c r="Q32" i="9"/>
  <c r="P32" i="9"/>
  <c r="Q37" i="9"/>
  <c r="P37" i="9"/>
  <c r="R37" i="9"/>
  <c r="S37" i="9" s="1"/>
  <c r="R55" i="9"/>
  <c r="Q38" i="9"/>
  <c r="R56" i="9"/>
  <c r="S56" i="9" s="1"/>
  <c r="R47" i="9"/>
  <c r="S47" i="9" s="1"/>
  <c r="R39" i="9"/>
  <c r="R51" i="9"/>
  <c r="R38" i="9"/>
  <c r="Q56" i="9"/>
  <c r="Q51" i="9"/>
  <c r="R49" i="9"/>
  <c r="R62" i="9"/>
  <c r="S62" i="9" s="1"/>
  <c r="R50" i="9"/>
  <c r="S50" i="9" s="1"/>
  <c r="Q49" i="9"/>
  <c r="Q63" i="9"/>
  <c r="R63" i="9"/>
  <c r="R31" i="9"/>
  <c r="R30" i="9"/>
  <c r="R61" i="9"/>
  <c r="R32" i="9"/>
  <c r="S32" i="9" s="1"/>
  <c r="Q29" i="9"/>
  <c r="R36" i="9"/>
  <c r="R57" i="9"/>
  <c r="R35" i="9"/>
  <c r="S35" i="9" s="1"/>
  <c r="R28" i="9"/>
  <c r="R34" i="9"/>
  <c r="R29" i="9"/>
  <c r="S29" i="9" s="1"/>
  <c r="R33" i="9"/>
  <c r="R40" i="9"/>
  <c r="Q40" i="9"/>
  <c r="R44" i="9"/>
  <c r="S44" i="9" s="1"/>
  <c r="Q44" i="9"/>
  <c r="Q41" i="9"/>
  <c r="R41" i="9"/>
  <c r="S41" i="9" s="1"/>
  <c r="R45" i="9"/>
  <c r="Q45" i="9"/>
  <c r="Q48" i="9"/>
  <c r="R48" i="9"/>
  <c r="R46" i="9"/>
  <c r="R43" i="9"/>
  <c r="R42" i="9"/>
  <c r="Q59" i="9" l="1"/>
  <c r="R60" i="9"/>
  <c r="R59" i="9"/>
  <c r="S59" i="9" s="1"/>
  <c r="Q58" i="9"/>
  <c r="R58" i="9"/>
  <c r="R52" i="9"/>
  <c r="R54" i="9"/>
  <c r="S54" i="9" s="1"/>
  <c r="Q73" i="9" s="1"/>
  <c r="Q53" i="9"/>
  <c r="R53" i="9"/>
  <c r="P64" i="9"/>
  <c r="Q64" i="9" l="1"/>
</calcChain>
</file>

<file path=xl/comments1.xml><?xml version="1.0" encoding="utf-8"?>
<comments xmlns="http://schemas.openxmlformats.org/spreadsheetml/2006/main">
  <authors>
    <author>Gensler, Sonja</author>
  </authors>
  <commentList>
    <comment ref="Q65" authorId="0" shapeId="0">
      <text>
        <r>
          <rPr>
            <sz val="9"/>
            <color indexed="81"/>
            <rFont val="Segoe UI"/>
            <family val="2"/>
          </rPr>
          <t>Verwenden Sie Excel' Solver, um LL zu maximieren (https://support.microsoft.com/de-de/office/load-the-solver-add-in-in-excel-612926fc-d53b-46b4-872c-e24772f078ca)</t>
        </r>
      </text>
    </comment>
  </commentList>
</comments>
</file>

<file path=xl/sharedStrings.xml><?xml version="1.0" encoding="utf-8"?>
<sst xmlns="http://schemas.openxmlformats.org/spreadsheetml/2006/main" count="240" uniqueCount="139">
  <si>
    <t>Stimulus</t>
  </si>
  <si>
    <t>Price</t>
  </si>
  <si>
    <t>ANOVA</t>
  </si>
  <si>
    <t>Regression</t>
  </si>
  <si>
    <t>Pearson</t>
  </si>
  <si>
    <t>Under the following terms:</t>
  </si>
  <si>
    <t>relative</t>
  </si>
  <si>
    <t>b11</t>
  </si>
  <si>
    <t>b12</t>
  </si>
  <si>
    <t>b21</t>
  </si>
  <si>
    <t>b22</t>
  </si>
  <si>
    <t>b3</t>
  </si>
  <si>
    <t>LLb</t>
  </si>
  <si>
    <t>LLRj</t>
  </si>
  <si>
    <t>60%</t>
  </si>
  <si>
    <t>78%</t>
  </si>
  <si>
    <t>LL0</t>
  </si>
  <si>
    <t>Likelihood</t>
  </si>
  <si>
    <t>lnLikelihood (LL)</t>
  </si>
  <si>
    <t>LL (maxmimum)</t>
  </si>
  <si>
    <t>LLR</t>
  </si>
  <si>
    <t>LL0j</t>
  </si>
  <si>
    <t>McFadden's R2</t>
  </si>
  <si>
    <t>Diese Excel-Tabelle ist Zusatzmaterial zum Buch "Multivariate Analysemethoden - Eine anwendungsorientierte Einführung".</t>
  </si>
  <si>
    <t>von Klaus Backhaus, Bernd Erichson, Sonja Gensler, Rolf Weiber, and Thomas Weiber, 2021, Springer.</t>
  </si>
  <si>
    <t>Die Excel-Tabelle ist unter der CC BY-NC-SA-Lizenz veröffentlicht.</t>
  </si>
  <si>
    <t>Es steht Ihnen frei:</t>
  </si>
  <si>
    <t>Teilen</t>
  </si>
  <si>
    <t>Das Material in einem beliebigen Medium oder Format zu kopieren und weiterzuverbreiten</t>
  </si>
  <si>
    <t>Anpassen</t>
  </si>
  <si>
    <t>Das Material darf neu zusammengestellt, umgestaltet und bearbeitet werden.</t>
  </si>
  <si>
    <t>Namensnennung</t>
  </si>
  <si>
    <t>Der Name des ursprünglichen Urhebers muss genannt werden (Backhaus et al. (2021), Multivariate Analysemethoden, Springer)</t>
  </si>
  <si>
    <t>Nicht-kommerziell</t>
  </si>
  <si>
    <t>Die Weiterverwendung darf nur nicht-kommerziellen Zwecken dienen</t>
  </si>
  <si>
    <t>Weitergabe unter gleichen Bedingungen</t>
  </si>
  <si>
    <t>Bei einer Bearbeitung muss das neu entstandene Werk unter denselben Bedingungen veröffentlicht werden wie das ursprüngliche Werk.</t>
  </si>
  <si>
    <t>Excel-Blatt</t>
  </si>
  <si>
    <t>CA Daten</t>
  </si>
  <si>
    <t>CBC-Analyse</t>
  </si>
  <si>
    <t>Beschreibung</t>
  </si>
  <si>
    <t>Excel-Blatt beinhaltet die Ausgangsdaten</t>
  </si>
  <si>
    <t>Excel-Blatt beinhaltet die Datenmatrix für das Teilnutzenwertmodell für alle Eigenschaften</t>
  </si>
  <si>
    <t>Excel-Blatt zeigt die Ergebnisse der Regressionsanalyse, wenn das Teilnutzenwertmodell für alle Eigenschaften zugrunde gelegt wird</t>
  </si>
  <si>
    <t>Excel-Blatt beinhaltet die Datenmatrix für das Teilnutzenwert- und Vektormodell für einzelne Eigenschaften</t>
  </si>
  <si>
    <t>Excel-Blatt zeigt die Ergebnisse der Regressionsanalyse, wenn das Teilnutzenwert- und Vektormodell für einzelne Eigenschaften zugrunde gelegt werden</t>
  </si>
  <si>
    <t>Excel-Blatt illustriert die Choice-Based Conjoint-Analyse (Anmerkung: Die Ergebnisse können vom Buch etwas abweichen, da der Excel-Solver nicht immer das globale Maximum findet)</t>
  </si>
  <si>
    <t>Kakaogehalt</t>
  </si>
  <si>
    <t>UTZ-Label</t>
  </si>
  <si>
    <t>Preis</t>
  </si>
  <si>
    <t>Bewertung (Ratingskala)</t>
  </si>
  <si>
    <t>0,80 EUR</t>
  </si>
  <si>
    <t>1,20 EUR</t>
  </si>
  <si>
    <t>1,00 EUR</t>
  </si>
  <si>
    <t>Kakaogehalt=30%</t>
  </si>
  <si>
    <t>Kakaogehalt=50%</t>
  </si>
  <si>
    <t>Preis=0,80 EUR</t>
  </si>
  <si>
    <t>Preis=1,00 EUR</t>
  </si>
  <si>
    <t>CA Daten Teilnutzenwertmodell</t>
  </si>
  <si>
    <t>CA Daten gemischtes Modell</t>
  </si>
  <si>
    <t>CA Ergebnisse TNW</t>
  </si>
  <si>
    <t>CA Ergebnisse gemischtes Modell</t>
  </si>
  <si>
    <t xml:space="preserve">Verwenden Sie das Analysis ToolPak in Excel, um eine Regressionsanalyse durchzuführen </t>
  </si>
  <si>
    <t>https://support.microsoft.com/de-de/office/laden-der-analyse-toolpak-in-excel-6a63e598-cd6d-42e3-9317-6b40ba1a66b4</t>
  </si>
  <si>
    <t>AUSGABE: ZUSAMMENFASSUNG</t>
  </si>
  <si>
    <t>Regressions-Statistik</t>
  </si>
  <si>
    <t>Multipler Korrelationskoeffizient</t>
  </si>
  <si>
    <t>Bestimmtheitsmaß</t>
  </si>
  <si>
    <t>Adjustiertes Bestimmtheitsmaß</t>
  </si>
  <si>
    <t>Standardfehler</t>
  </si>
  <si>
    <t>Beobachtungen</t>
  </si>
  <si>
    <t>Residue</t>
  </si>
  <si>
    <t>Gesamt</t>
  </si>
  <si>
    <t>Schnittpunkt</t>
  </si>
  <si>
    <t>Freiheitsgrade (df)</t>
  </si>
  <si>
    <t>Quadratsummen (SS)</t>
  </si>
  <si>
    <t>Mittlere Quadratsumme (MS)</t>
  </si>
  <si>
    <t>Prüfgröße (F)</t>
  </si>
  <si>
    <t>F krit</t>
  </si>
  <si>
    <t>Koeffizienten</t>
  </si>
  <si>
    <t>t-Statistik</t>
  </si>
  <si>
    <t>P-Wert</t>
  </si>
  <si>
    <t>Untere 95%</t>
  </si>
  <si>
    <t>Obere 95%</t>
  </si>
  <si>
    <t>AUSGABE: RESIDUENPLOT</t>
  </si>
  <si>
    <t>Beobachtung</t>
  </si>
  <si>
    <t>Schätzung für Bewertung (Ratingskala)</t>
  </si>
  <si>
    <t>Residuen</t>
  </si>
  <si>
    <t>Summe</t>
  </si>
  <si>
    <t>Spannweite</t>
  </si>
  <si>
    <t>relative Wichtigkeit</t>
  </si>
  <si>
    <t>maximaler Nutzenwert</t>
  </si>
  <si>
    <t>transformierter Teilnutzenwert</t>
  </si>
  <si>
    <t>standardisierter Teilnutzenwert</t>
  </si>
  <si>
    <t>Maximaler Nutzenwert</t>
  </si>
  <si>
    <t xml:space="preserve">Hinweis: Der Excel-Solver findet nicht immer das globale Maximum, sondern kann auch in einem lokalen Maximum enden. </t>
  </si>
  <si>
    <t>Daher kann es zu stark abweichenden Parameterschätzungen kommen.</t>
  </si>
  <si>
    <t>An den wesentlichen Erkenntnissen sollte sich jedoch nichts ändern.</t>
  </si>
  <si>
    <t>CBC-Analyse | Setting</t>
  </si>
  <si>
    <t>Zahl der Eiegnschaften</t>
  </si>
  <si>
    <t>Zahl der Eigenschaftsausprägungen</t>
  </si>
  <si>
    <t>Zahl der Auswahlsets pro Befragtem</t>
  </si>
  <si>
    <t>Zahl der Alternativen (Stimuli + Nicht-Wahl Option)</t>
  </si>
  <si>
    <t>Zahl der Befragten</t>
  </si>
  <si>
    <t>Zahl der beobachteten Auswahlentscheidungen</t>
  </si>
  <si>
    <t>Nicht-Wahl</t>
  </si>
  <si>
    <t>Eigenschaft</t>
  </si>
  <si>
    <t>Ausprägung</t>
  </si>
  <si>
    <t>1,50 EUR</t>
  </si>
  <si>
    <t>2,00 EUR</t>
  </si>
  <si>
    <t>Berechnung der relativen Wichtigkeiten</t>
  </si>
  <si>
    <t>Teilnutzenwert</t>
  </si>
  <si>
    <t>Wichtigkeit</t>
  </si>
  <si>
    <t>Startwerte</t>
  </si>
  <si>
    <t>geschätzte Parameter</t>
  </si>
  <si>
    <t>Befragte/r</t>
  </si>
  <si>
    <t>Auswahlset</t>
  </si>
  <si>
    <t>Alternative</t>
  </si>
  <si>
    <t>60% Kakaogehalt</t>
  </si>
  <si>
    <t>78% Kakaogehalt</t>
  </si>
  <si>
    <t>Nutzen</t>
  </si>
  <si>
    <t>exp(Nutzen)</t>
  </si>
  <si>
    <t>Summe von exp(Nutzen)</t>
  </si>
  <si>
    <t>Auswahlwahrscheinlichkeit</t>
  </si>
  <si>
    <t>Auswahlwahrscheinlichkeit * Wahl</t>
  </si>
  <si>
    <t>ln(Auswahlwahrscheinlichkeit)*d</t>
  </si>
  <si>
    <t>Wahl (d)</t>
  </si>
  <si>
    <t>Vorhersage</t>
  </si>
  <si>
    <t>Treffer</t>
  </si>
  <si>
    <t>LL (Startwerte)</t>
  </si>
  <si>
    <t>p-Wert</t>
  </si>
  <si>
    <t>Trefferquote</t>
  </si>
  <si>
    <t>Signifikanz der Parameter</t>
  </si>
  <si>
    <t>p-Wert (df=1)</t>
  </si>
  <si>
    <t>Zählen der Wahlentscheidungen: Häufigkeit mit der eine Eigenschaftsausprägung gewählt wurde (Herleitung der Startwerte)</t>
  </si>
  <si>
    <t>ID</t>
  </si>
  <si>
    <t>absolute Häufigkeit</t>
  </si>
  <si>
    <t>relative Häufigkeit</t>
  </si>
  <si>
    <t>Startwert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</si>
</sst>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"/>
    <numFmt numFmtId="165" formatCode="#,##0.00\ &quot;€&quot;"/>
    <numFmt numFmtId="166" formatCode="0.0000"/>
    <numFmt numFmtId="167" formatCode="0.00000"/>
    <numFmt numFmtId="168" formatCode="0.0%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b/>
      <sz val="11"/>
      <color rgb="FF0070C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9"/>
      <color indexed="81"/>
      <name val="Segoe UI"/>
      <family val="2"/>
    </font>
    <font>
      <u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132354"/>
        <bgColor indexed="64"/>
      </patternFill>
    </fill>
    <fill>
      <patternFill patternType="solid">
        <fgColor rgb="FF6BA226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/>
  </cellStyleXfs>
  <cellXfs count="159">
    <xf numFmtId="0" fontId="0" fillId="0" borderId="0" xfId="0"/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  <xf numFmtId="2" fontId="0" fillId="0" borderId="0" xfId="0" applyNumberFormat="1"/>
    <xf numFmtId="2" fontId="0" fillId="0" borderId="0" xfId="0" applyNumberFormat="1" applyFill="1" applyBorder="1" applyAlignment="1"/>
    <xf numFmtId="0" fontId="0" fillId="0" borderId="0" xfId="0" applyBorder="1"/>
    <xf numFmtId="1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2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0" applyNumberFormat="1"/>
    <xf numFmtId="0" fontId="0" fillId="2" borderId="0" xfId="0" applyFill="1"/>
    <xf numFmtId="0" fontId="14" fillId="2" borderId="0" xfId="0" applyFont="1" applyFill="1"/>
    <xf numFmtId="0" fontId="3" fillId="4" borderId="0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164" fontId="18" fillId="0" borderId="0" xfId="3" applyNumberFormat="1" applyFont="1" applyFill="1" applyBorder="1"/>
    <xf numFmtId="164" fontId="4" fillId="0" borderId="0" xfId="3" applyNumberFormat="1" applyFont="1" applyBorder="1"/>
    <xf numFmtId="0" fontId="4" fillId="0" borderId="0" xfId="3" applyFont="1" applyBorder="1" applyAlignment="1">
      <alignment horizontal="left"/>
    </xf>
    <xf numFmtId="0" fontId="4" fillId="0" borderId="0" xfId="3" applyFont="1" applyBorder="1"/>
    <xf numFmtId="0" fontId="4" fillId="0" borderId="0" xfId="3" applyFont="1" applyBorder="1" applyAlignment="1">
      <alignment horizontal="center"/>
    </xf>
    <xf numFmtId="0" fontId="5" fillId="0" borderId="0" xfId="3" applyFont="1" applyBorder="1" applyAlignment="1">
      <alignment horizontal="right" indent="3"/>
    </xf>
    <xf numFmtId="164" fontId="18" fillId="0" borderId="3" xfId="3" applyNumberFormat="1" applyFont="1" applyBorder="1"/>
    <xf numFmtId="164" fontId="18" fillId="0" borderId="0" xfId="3" applyNumberFormat="1" applyFont="1" applyBorder="1"/>
    <xf numFmtId="0" fontId="4" fillId="0" borderId="0" xfId="3" applyFont="1" applyBorder="1" applyAlignment="1">
      <alignment horizontal="right"/>
    </xf>
    <xf numFmtId="164" fontId="18" fillId="0" borderId="0" xfId="3" applyNumberFormat="1" applyFont="1" applyBorder="1" applyAlignment="1">
      <alignment horizontal="right"/>
    </xf>
    <xf numFmtId="0" fontId="20" fillId="0" borderId="0" xfId="3" applyFont="1" applyBorder="1"/>
    <xf numFmtId="0" fontId="18" fillId="0" borderId="0" xfId="3" applyFont="1" applyBorder="1" applyAlignment="1">
      <alignment horizontal="left"/>
    </xf>
    <xf numFmtId="164" fontId="21" fillId="0" borderId="0" xfId="3" applyNumberFormat="1" applyFont="1" applyBorder="1" applyAlignment="1">
      <alignment horizontal="center"/>
    </xf>
    <xf numFmtId="164" fontId="4" fillId="0" borderId="0" xfId="3" applyNumberFormat="1" applyFont="1" applyFill="1" applyBorder="1" applyAlignment="1">
      <alignment horizontal="center"/>
    </xf>
    <xf numFmtId="164" fontId="20" fillId="0" borderId="0" xfId="3" applyNumberFormat="1" applyFont="1" applyFill="1" applyBorder="1" applyAlignment="1">
      <alignment horizontal="center"/>
    </xf>
    <xf numFmtId="0" fontId="21" fillId="0" borderId="0" xfId="3" applyFont="1" applyBorder="1" applyAlignment="1">
      <alignment horizontal="right"/>
    </xf>
    <xf numFmtId="167" fontId="21" fillId="0" borderId="0" xfId="3" applyNumberFormat="1" applyFont="1" applyBorder="1"/>
    <xf numFmtId="0" fontId="4" fillId="0" borderId="0" xfId="3" applyFont="1" applyFill="1" applyBorder="1" applyAlignment="1">
      <alignment horizontal="left"/>
    </xf>
    <xf numFmtId="164" fontId="4" fillId="0" borderId="3" xfId="3" applyNumberFormat="1" applyFont="1" applyFill="1" applyBorder="1" applyAlignment="1">
      <alignment horizontal="center"/>
    </xf>
    <xf numFmtId="164" fontId="5" fillId="0" borderId="0" xfId="3" applyNumberFormat="1" applyFont="1" applyFill="1" applyBorder="1" applyAlignment="1">
      <alignment horizontal="center"/>
    </xf>
    <xf numFmtId="164" fontId="19" fillId="0" borderId="0" xfId="3" applyNumberFormat="1" applyFont="1" applyFill="1" applyBorder="1" applyAlignment="1">
      <alignment horizontal="center"/>
    </xf>
    <xf numFmtId="0" fontId="5" fillId="0" borderId="0" xfId="3" applyFont="1" applyBorder="1" applyAlignment="1">
      <alignment horizontal="center"/>
    </xf>
    <xf numFmtId="167" fontId="21" fillId="0" borderId="0" xfId="3" applyNumberFormat="1" applyFont="1" applyBorder="1" applyAlignment="1"/>
    <xf numFmtId="0" fontId="4" fillId="0" borderId="0" xfId="3" applyFont="1" applyFill="1" applyBorder="1" applyAlignment="1">
      <alignment horizontal="right" indent="4"/>
    </xf>
    <xf numFmtId="0" fontId="5" fillId="0" borderId="0" xfId="3" applyFont="1" applyFill="1" applyBorder="1" applyAlignment="1">
      <alignment horizontal="center"/>
    </xf>
    <xf numFmtId="0" fontId="4" fillId="0" borderId="3" xfId="3" applyFont="1" applyFill="1" applyBorder="1" applyAlignment="1">
      <alignment horizontal="center"/>
    </xf>
    <xf numFmtId="164" fontId="4" fillId="0" borderId="0" xfId="3" applyNumberFormat="1" applyFont="1" applyFill="1" applyBorder="1"/>
    <xf numFmtId="1" fontId="4" fillId="0" borderId="0" xfId="3" applyNumberFormat="1" applyFont="1" applyFill="1" applyBorder="1" applyAlignment="1">
      <alignment horizontal="center"/>
    </xf>
    <xf numFmtId="0" fontId="4" fillId="0" borderId="0" xfId="3" applyFont="1" applyFill="1" applyBorder="1"/>
    <xf numFmtId="0" fontId="21" fillId="0" borderId="0" xfId="3" applyFont="1" applyFill="1" applyBorder="1"/>
    <xf numFmtId="0" fontId="8" fillId="0" borderId="0" xfId="3" applyFont="1" applyFill="1" applyBorder="1"/>
    <xf numFmtId="0" fontId="5" fillId="0" borderId="0" xfId="3" applyFont="1" applyBorder="1"/>
    <xf numFmtId="0" fontId="5" fillId="0" borderId="0" xfId="3" applyFont="1" applyBorder="1" applyAlignment="1">
      <alignment horizontal="left"/>
    </xf>
    <xf numFmtId="0" fontId="18" fillId="0" borderId="0" xfId="3" applyFont="1" applyBorder="1"/>
    <xf numFmtId="0" fontId="4" fillId="0" borderId="0" xfId="3" applyFont="1" applyBorder="1" applyAlignment="1">
      <alignment horizontal="right" indent="3"/>
    </xf>
    <xf numFmtId="0" fontId="4" fillId="0" borderId="0" xfId="3" applyFont="1" applyFill="1" applyBorder="1" applyAlignment="1">
      <alignment horizontal="right"/>
    </xf>
    <xf numFmtId="0" fontId="19" fillId="0" borderId="0" xfId="3" applyFont="1" applyBorder="1"/>
    <xf numFmtId="2" fontId="18" fillId="0" borderId="0" xfId="3" applyNumberFormat="1" applyFont="1" applyBorder="1"/>
    <xf numFmtId="166" fontId="21" fillId="0" borderId="0" xfId="3" applyNumberFormat="1" applyFont="1" applyBorder="1" applyAlignment="1">
      <alignment horizontal="right"/>
    </xf>
    <xf numFmtId="0" fontId="5" fillId="0" borderId="0" xfId="3" applyFont="1" applyFill="1" applyBorder="1"/>
    <xf numFmtId="167" fontId="4" fillId="0" borderId="0" xfId="3" applyNumberFormat="1" applyFont="1" applyBorder="1"/>
    <xf numFmtId="0" fontId="22" fillId="0" borderId="0" xfId="3" applyFont="1" applyBorder="1"/>
    <xf numFmtId="164" fontId="21" fillId="0" borderId="0" xfId="3" applyNumberFormat="1" applyFont="1" applyFill="1" applyBorder="1"/>
    <xf numFmtId="0" fontId="5" fillId="0" borderId="0" xfId="3" applyNumberFormat="1" applyFont="1" applyBorder="1" applyAlignment="1"/>
    <xf numFmtId="1" fontId="5" fillId="0" borderId="0" xfId="3" applyNumberFormat="1" applyFont="1" applyFill="1" applyBorder="1" applyAlignment="1">
      <alignment horizontal="center"/>
    </xf>
    <xf numFmtId="0" fontId="23" fillId="0" borderId="0" xfId="3" applyFont="1" applyBorder="1" applyAlignment="1">
      <alignment horizontal="right"/>
    </xf>
    <xf numFmtId="164" fontId="21" fillId="0" borderId="0" xfId="3" applyNumberFormat="1" applyFont="1" applyBorder="1"/>
    <xf numFmtId="0" fontId="18" fillId="0" borderId="0" xfId="3" applyFont="1" applyBorder="1" applyAlignment="1">
      <alignment horizontal="center"/>
    </xf>
    <xf numFmtId="0" fontId="4" fillId="0" borderId="0" xfId="3" applyFont="1" applyFill="1" applyBorder="1" applyAlignment="1">
      <alignment horizontal="center"/>
    </xf>
    <xf numFmtId="2" fontId="20" fillId="0" borderId="0" xfId="3" applyNumberFormat="1" applyFont="1" applyBorder="1" applyAlignment="1">
      <alignment horizontal="center"/>
    </xf>
    <xf numFmtId="2" fontId="4" fillId="0" borderId="0" xfId="3" applyNumberFormat="1" applyFont="1" applyFill="1" applyBorder="1" applyAlignment="1">
      <alignment horizontal="center"/>
    </xf>
    <xf numFmtId="2" fontId="20" fillId="0" borderId="0" xfId="3" applyNumberFormat="1" applyFont="1" applyBorder="1"/>
    <xf numFmtId="0" fontId="5" fillId="0" borderId="0" xfId="3" applyFont="1" applyFill="1" applyBorder="1" applyAlignment="1">
      <alignment horizontal="right"/>
    </xf>
    <xf numFmtId="0" fontId="4" fillId="0" borderId="0" xfId="3" applyFont="1" applyFill="1" applyBorder="1" applyAlignment="1">
      <alignment horizontal="right" indent="1"/>
    </xf>
    <xf numFmtId="0" fontId="8" fillId="0" borderId="0" xfId="3" applyFont="1" applyBorder="1" applyAlignment="1">
      <alignment horizontal="right"/>
    </xf>
    <xf numFmtId="2" fontId="8" fillId="0" borderId="0" xfId="3" applyNumberFormat="1" applyFont="1" applyFill="1" applyBorder="1"/>
    <xf numFmtId="2" fontId="8" fillId="0" borderId="0" xfId="3" applyNumberFormat="1" applyFont="1" applyBorder="1"/>
    <xf numFmtId="2" fontId="20" fillId="0" borderId="0" xfId="3" applyNumberFormat="1" applyFont="1" applyBorder="1" applyAlignment="1">
      <alignment horizontal="right" indent="2"/>
    </xf>
    <xf numFmtId="2" fontId="4" fillId="0" borderId="0" xfId="3" applyNumberFormat="1" applyFont="1" applyFill="1" applyBorder="1" applyAlignment="1">
      <alignment horizontal="right" indent="2"/>
    </xf>
    <xf numFmtId="0" fontId="4" fillId="0" borderId="0" xfId="3" applyFont="1" applyFill="1" applyBorder="1" applyAlignment="1">
      <alignment horizontal="right" indent="2"/>
    </xf>
    <xf numFmtId="0" fontId="7" fillId="4" borderId="0" xfId="3" applyFont="1" applyFill="1" applyBorder="1"/>
    <xf numFmtId="0" fontId="9" fillId="4" borderId="0" xfId="3" applyFont="1" applyFill="1" applyBorder="1"/>
    <xf numFmtId="164" fontId="7" fillId="4" borderId="0" xfId="3" applyNumberFormat="1" applyFont="1" applyFill="1" applyBorder="1" applyAlignment="1">
      <alignment horizontal="center"/>
    </xf>
    <xf numFmtId="0" fontId="7" fillId="4" borderId="0" xfId="3" applyFont="1" applyFill="1" applyBorder="1" applyAlignment="1">
      <alignment horizontal="center"/>
    </xf>
    <xf numFmtId="0" fontId="9" fillId="4" borderId="0" xfId="3" applyFont="1" applyFill="1" applyBorder="1" applyAlignment="1">
      <alignment horizontal="center"/>
    </xf>
    <xf numFmtId="0" fontId="7" fillId="0" borderId="0" xfId="3" applyFont="1" applyFill="1" applyBorder="1"/>
    <xf numFmtId="0" fontId="1" fillId="0" borderId="0" xfId="3" applyFont="1" applyFill="1" applyBorder="1"/>
    <xf numFmtId="164" fontId="1" fillId="0" borderId="0" xfId="3" applyNumberFormat="1" applyFont="1" applyFill="1" applyBorder="1" applyAlignment="1">
      <alignment horizontal="center"/>
    </xf>
    <xf numFmtId="2" fontId="6" fillId="0" borderId="0" xfId="3" applyNumberFormat="1" applyFont="1" applyFill="1" applyBorder="1" applyAlignment="1">
      <alignment horizontal="right" indent="2"/>
    </xf>
    <xf numFmtId="164" fontId="6" fillId="0" borderId="0" xfId="3" applyNumberFormat="1" applyFont="1" applyFill="1" applyBorder="1" applyAlignment="1">
      <alignment horizontal="center"/>
    </xf>
    <xf numFmtId="0" fontId="6" fillId="0" borderId="0" xfId="3" applyFont="1" applyFill="1" applyBorder="1" applyAlignment="1">
      <alignment horizontal="center"/>
    </xf>
    <xf numFmtId="2" fontId="6" fillId="0" borderId="0" xfId="3" applyNumberFormat="1" applyFont="1" applyFill="1" applyBorder="1" applyAlignment="1">
      <alignment horizontal="right" indent="4"/>
    </xf>
    <xf numFmtId="2" fontId="6" fillId="0" borderId="0" xfId="3" applyNumberFormat="1" applyFont="1" applyFill="1" applyBorder="1" applyAlignment="1">
      <alignment horizontal="right" indent="3"/>
    </xf>
    <xf numFmtId="0" fontId="7" fillId="3" borderId="0" xfId="3" applyFont="1" applyFill="1" applyBorder="1"/>
    <xf numFmtId="2" fontId="9" fillId="4" borderId="0" xfId="3" applyNumberFormat="1" applyFont="1" applyFill="1" applyBorder="1" applyAlignment="1">
      <alignment horizontal="center"/>
    </xf>
    <xf numFmtId="2" fontId="6" fillId="0" borderId="3" xfId="3" applyNumberFormat="1" applyFont="1" applyFill="1" applyBorder="1" applyAlignment="1">
      <alignment horizontal="right" indent="4"/>
    </xf>
    <xf numFmtId="2" fontId="6" fillId="0" borderId="3" xfId="3" applyNumberFormat="1" applyFont="1" applyFill="1" applyBorder="1" applyAlignment="1">
      <alignment horizontal="right" indent="2"/>
    </xf>
    <xf numFmtId="2" fontId="6" fillId="0" borderId="3" xfId="3" applyNumberFormat="1" applyFont="1" applyFill="1" applyBorder="1" applyAlignment="1">
      <alignment horizontal="right" indent="3"/>
    </xf>
    <xf numFmtId="2" fontId="4" fillId="0" borderId="3" xfId="3" applyNumberFormat="1" applyFont="1" applyFill="1" applyBorder="1" applyAlignment="1">
      <alignment horizontal="center"/>
    </xf>
    <xf numFmtId="1" fontId="4" fillId="0" borderId="3" xfId="3" applyNumberFormat="1" applyFont="1" applyFill="1" applyBorder="1" applyAlignment="1">
      <alignment horizontal="center"/>
    </xf>
    <xf numFmtId="0" fontId="7" fillId="0" borderId="0" xfId="3" applyFont="1" applyFill="1" applyBorder="1" applyAlignment="1">
      <alignment horizontal="center"/>
    </xf>
    <xf numFmtId="164" fontId="6" fillId="0" borderId="0" xfId="3" applyNumberFormat="1" applyFont="1" applyBorder="1" applyAlignment="1">
      <alignment horizontal="center"/>
    </xf>
    <xf numFmtId="0" fontId="6" fillId="0" borderId="0" xfId="3" applyFont="1" applyBorder="1" applyAlignment="1">
      <alignment horizontal="center"/>
    </xf>
    <xf numFmtId="164" fontId="6" fillId="0" borderId="3" xfId="3" applyNumberFormat="1" applyFont="1" applyBorder="1" applyAlignment="1">
      <alignment horizontal="center"/>
    </xf>
    <xf numFmtId="0" fontId="6" fillId="0" borderId="3" xfId="3" applyFont="1" applyBorder="1" applyAlignment="1">
      <alignment horizontal="center"/>
    </xf>
    <xf numFmtId="0" fontId="7" fillId="4" borderId="3" xfId="3" applyFont="1" applyFill="1" applyBorder="1"/>
    <xf numFmtId="49" fontId="7" fillId="4" borderId="0" xfId="3" applyNumberFormat="1" applyFont="1" applyFill="1" applyBorder="1" applyAlignment="1">
      <alignment horizontal="left"/>
    </xf>
    <xf numFmtId="165" fontId="7" fillId="4" borderId="0" xfId="3" applyNumberFormat="1" applyFont="1" applyFill="1" applyBorder="1" applyAlignment="1">
      <alignment horizontal="left"/>
    </xf>
    <xf numFmtId="168" fontId="6" fillId="0" borderId="0" xfId="1" applyNumberFormat="1" applyFont="1" applyFill="1" applyBorder="1" applyAlignment="1">
      <alignment horizontal="center"/>
    </xf>
    <xf numFmtId="164" fontId="4" fillId="0" borderId="0" xfId="3" applyNumberFormat="1" applyFont="1" applyBorder="1" applyAlignment="1">
      <alignment horizontal="right"/>
    </xf>
    <xf numFmtId="164" fontId="4" fillId="0" borderId="0" xfId="3" applyNumberFormat="1" applyFont="1" applyFill="1" applyBorder="1" applyAlignment="1">
      <alignment horizontal="right"/>
    </xf>
    <xf numFmtId="167" fontId="4" fillId="0" borderId="0" xfId="1" applyNumberFormat="1" applyFont="1" applyBorder="1"/>
    <xf numFmtId="168" fontId="7" fillId="0" borderId="0" xfId="1" applyNumberFormat="1" applyFont="1" applyFill="1" applyBorder="1" applyAlignment="1">
      <alignment horizontal="center"/>
    </xf>
    <xf numFmtId="0" fontId="7" fillId="4" borderId="0" xfId="0" applyFont="1" applyFill="1"/>
    <xf numFmtId="0" fontId="2" fillId="0" borderId="2" xfId="0" applyFont="1" applyFill="1" applyBorder="1" applyAlignment="1">
      <alignment horizontal="centerContinuous"/>
    </xf>
    <xf numFmtId="164" fontId="0" fillId="0" borderId="0" xfId="0" applyNumberFormat="1" applyFill="1" applyBorder="1" applyAlignment="1"/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2" fontId="0" fillId="0" borderId="3" xfId="0" applyNumberFormat="1" applyFill="1" applyBorder="1" applyAlignment="1"/>
    <xf numFmtId="164" fontId="0" fillId="0" borderId="3" xfId="0" applyNumberFormat="1" applyBorder="1"/>
    <xf numFmtId="168" fontId="0" fillId="0" borderId="0" xfId="1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3" xfId="0" applyFill="1" applyBorder="1" applyAlignment="1"/>
    <xf numFmtId="164" fontId="0" fillId="0" borderId="3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5" borderId="0" xfId="0" applyFill="1"/>
    <xf numFmtId="0" fontId="10" fillId="5" borderId="0" xfId="0" applyFont="1" applyFill="1"/>
    <xf numFmtId="0" fontId="11" fillId="5" borderId="0" xfId="0" applyFont="1" applyFill="1"/>
    <xf numFmtId="0" fontId="9" fillId="5" borderId="0" xfId="0" applyFont="1" applyFill="1"/>
    <xf numFmtId="0" fontId="12" fillId="5" borderId="0" xfId="0" applyFont="1" applyFill="1"/>
    <xf numFmtId="0" fontId="13" fillId="5" borderId="0" xfId="0" applyFont="1" applyFill="1"/>
    <xf numFmtId="0" fontId="14" fillId="5" borderId="0" xfId="0" applyFont="1" applyFill="1"/>
    <xf numFmtId="0" fontId="15" fillId="5" borderId="0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/>
    </xf>
    <xf numFmtId="0" fontId="7" fillId="5" borderId="0" xfId="0" applyFont="1" applyFill="1" applyBorder="1" applyAlignment="1">
      <alignment horizontal="center" vertical="center" wrapText="1"/>
    </xf>
    <xf numFmtId="0" fontId="7" fillId="5" borderId="0" xfId="0" applyFont="1" applyFill="1"/>
    <xf numFmtId="0" fontId="25" fillId="5" borderId="0" xfId="2" applyFont="1" applyFill="1"/>
    <xf numFmtId="2" fontId="7" fillId="5" borderId="0" xfId="0" applyNumberFormat="1" applyFont="1" applyFill="1" applyBorder="1" applyAlignment="1">
      <alignment horizontal="center"/>
    </xf>
    <xf numFmtId="0" fontId="7" fillId="5" borderId="0" xfId="0" applyFont="1" applyFill="1" applyAlignment="1">
      <alignment horizontal="center"/>
    </xf>
    <xf numFmtId="0" fontId="7" fillId="5" borderId="0" xfId="0" applyFont="1" applyFill="1" applyBorder="1" applyAlignment="1"/>
    <xf numFmtId="164" fontId="7" fillId="5" borderId="0" xfId="0" applyNumberFormat="1" applyFont="1" applyFill="1" applyBorder="1" applyAlignment="1">
      <alignment horizontal="center"/>
    </xf>
    <xf numFmtId="168" fontId="0" fillId="0" borderId="3" xfId="1" applyNumberFormat="1" applyFont="1" applyBorder="1" applyAlignment="1">
      <alignment horizontal="center"/>
    </xf>
    <xf numFmtId="164" fontId="7" fillId="5" borderId="0" xfId="0" applyNumberFormat="1" applyFont="1" applyFill="1" applyAlignment="1">
      <alignment horizontal="center"/>
    </xf>
    <xf numFmtId="0" fontId="0" fillId="5" borderId="0" xfId="0" applyFill="1" applyAlignment="1">
      <alignment horizontal="left"/>
    </xf>
    <xf numFmtId="0" fontId="7" fillId="5" borderId="0" xfId="3" applyFont="1" applyFill="1" applyBorder="1"/>
    <xf numFmtId="0" fontId="7" fillId="5" borderId="0" xfId="3" applyFont="1" applyFill="1" applyBorder="1" applyAlignment="1">
      <alignment horizontal="center"/>
    </xf>
    <xf numFmtId="0" fontId="7" fillId="5" borderId="3" xfId="3" applyFont="1" applyFill="1" applyBorder="1" applyAlignment="1">
      <alignment horizontal="center"/>
    </xf>
    <xf numFmtId="164" fontId="9" fillId="5" borderId="0" xfId="3" applyNumberFormat="1" applyFont="1" applyFill="1" applyBorder="1" applyAlignment="1">
      <alignment horizontal="center"/>
    </xf>
    <xf numFmtId="0" fontId="7" fillId="5" borderId="0" xfId="3" applyFont="1" applyFill="1" applyBorder="1" applyAlignment="1">
      <alignment horizontal="left"/>
    </xf>
    <xf numFmtId="164" fontId="7" fillId="5" borderId="0" xfId="3" applyNumberFormat="1" applyFont="1" applyFill="1" applyBorder="1" applyAlignment="1">
      <alignment horizontal="center"/>
    </xf>
    <xf numFmtId="0" fontId="7" fillId="4" borderId="0" xfId="3" applyFont="1" applyFill="1" applyBorder="1" applyAlignment="1">
      <alignment horizontal="left"/>
    </xf>
    <xf numFmtId="167" fontId="7" fillId="5" borderId="0" xfId="3" applyNumberFormat="1" applyFont="1" applyFill="1" applyBorder="1" applyAlignment="1">
      <alignment horizontal="center"/>
    </xf>
    <xf numFmtId="164" fontId="7" fillId="5" borderId="0" xfId="3" applyNumberFormat="1" applyFont="1" applyFill="1" applyBorder="1"/>
    <xf numFmtId="167" fontId="7" fillId="5" borderId="0" xfId="3" applyNumberFormat="1" applyFont="1" applyFill="1" applyBorder="1"/>
    <xf numFmtId="168" fontId="7" fillId="5" borderId="0" xfId="1" applyNumberFormat="1" applyFont="1" applyFill="1" applyBorder="1"/>
    <xf numFmtId="2" fontId="7" fillId="5" borderId="0" xfId="3" applyNumberFormat="1" applyFont="1" applyFill="1" applyBorder="1" applyAlignment="1">
      <alignment horizontal="center"/>
    </xf>
    <xf numFmtId="0" fontId="4" fillId="0" borderId="0" xfId="3" applyFont="1" applyBorder="1" applyAlignment="1">
      <alignment horizontal="center"/>
    </xf>
  </cellXfs>
  <cellStyles count="4">
    <cellStyle name="Link" xfId="2" builtinId="8"/>
    <cellStyle name="Prozent" xfId="1" builtinId="5"/>
    <cellStyle name="Standard" xfId="0" builtinId="0"/>
    <cellStyle name="Standard 2" xfId="3"/>
  </cellStyles>
  <dxfs count="0"/>
  <tableStyles count="0" defaultTableStyle="TableStyleMedium2" defaultPivotStyle="PivotStyleLight16"/>
  <colors>
    <mruColors>
      <color rgb="FF6BA226"/>
      <color rgb="FF132354"/>
      <color rgb="FFFF9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546570192239482E-2"/>
          <c:y val="0.1024745175326234"/>
          <c:w val="0.85079577215010282"/>
          <c:h val="0.780971813456033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6BA226"/>
            </a:solidFill>
            <a:ln>
              <a:solidFill>
                <a:srgbClr val="6BA226"/>
              </a:solidFill>
            </a:ln>
            <a:effectLst/>
          </c:spPr>
          <c:invertIfNegative val="0"/>
          <c:cat>
            <c:strRef>
              <c:f>('CBC analysis'!$E$10,'CBC analysis'!$E$12)</c:f>
              <c:strCache>
                <c:ptCount val="2"/>
                <c:pt idx="0">
                  <c:v>Kakaogehalt</c:v>
                </c:pt>
                <c:pt idx="1">
                  <c:v>Preis</c:v>
                </c:pt>
              </c:strCache>
            </c:strRef>
          </c:cat>
          <c:val>
            <c:numRef>
              <c:f>('CBC analysis'!$I$10,'CBC analysis'!$I$12)</c:f>
              <c:numCache>
                <c:formatCode>0.0%</c:formatCode>
                <c:ptCount val="2"/>
                <c:pt idx="0">
                  <c:v>0.66490737751292639</c:v>
                </c:pt>
                <c:pt idx="1">
                  <c:v>0.33509262248707361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CB-4198-98DF-B29E943541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5209600"/>
        <c:axId val="795216816"/>
      </c:barChart>
      <c:catAx>
        <c:axId val="795209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5216816"/>
        <c:crosses val="autoZero"/>
        <c:auto val="1"/>
        <c:lblAlgn val="ctr"/>
        <c:lblOffset val="100"/>
        <c:noMultiLvlLbl val="0"/>
      </c:catAx>
      <c:valAx>
        <c:axId val="795216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5209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132354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1</xdr:row>
      <xdr:rowOff>0</xdr:rowOff>
    </xdr:from>
    <xdr:to>
      <xdr:col>0</xdr:col>
      <xdr:colOff>2366262</xdr:colOff>
      <xdr:row>16</xdr:row>
      <xdr:rowOff>168275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312088E7-853E-4A2D-A38A-40C507C642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6" y="190500"/>
          <a:ext cx="2356736" cy="3654425"/>
        </a:xfrm>
        <a:prstGeom prst="rect">
          <a:avLst/>
        </a:prstGeom>
      </xdr:spPr>
    </xdr:pic>
    <xdr:clientData/>
  </xdr:twoCellAnchor>
  <xdr:twoCellAnchor editAs="oneCell">
    <xdr:from>
      <xdr:col>14</xdr:col>
      <xdr:colOff>136071</xdr:colOff>
      <xdr:row>1</xdr:row>
      <xdr:rowOff>47625</xdr:rowOff>
    </xdr:from>
    <xdr:to>
      <xdr:col>15</xdr:col>
      <xdr:colOff>680357</xdr:colOff>
      <xdr:row>3</xdr:row>
      <xdr:rowOff>25400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A15E7C00-A232-4305-B2F3-A90ED9ABA2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47446" y="238125"/>
          <a:ext cx="1306286" cy="4349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894485</xdr:colOff>
      <xdr:row>5</xdr:row>
      <xdr:rowOff>182706</xdr:rowOff>
    </xdr:from>
    <xdr:to>
      <xdr:col>13</xdr:col>
      <xdr:colOff>962024</xdr:colOff>
      <xdr:row>16</xdr:row>
      <xdr:rowOff>19049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8"/>
  <sheetViews>
    <sheetView tabSelected="1" workbookViewId="0">
      <selection activeCell="B17" sqref="B17"/>
    </sheetView>
  </sheetViews>
  <sheetFormatPr baseColWidth="10" defaultColWidth="11.42578125" defaultRowHeight="15" x14ac:dyDescent="0.25"/>
  <cols>
    <col min="1" max="1" width="37.7109375" style="12" customWidth="1"/>
    <col min="2" max="2" width="47.28515625" style="12" customWidth="1"/>
    <col min="3" max="16384" width="11.42578125" style="12"/>
  </cols>
  <sheetData>
    <row r="2" spans="2:16" x14ac:dyDescent="0.25"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</row>
    <row r="3" spans="2:16" ht="21" x14ac:dyDescent="0.35">
      <c r="B3" s="127" t="s">
        <v>23</v>
      </c>
      <c r="C3" s="128"/>
      <c r="D3" s="128"/>
      <c r="E3" s="128"/>
      <c r="F3" s="128"/>
      <c r="G3" s="128"/>
      <c r="H3" s="128"/>
      <c r="I3" s="128"/>
      <c r="J3" s="128"/>
      <c r="K3" s="126"/>
      <c r="L3" s="126"/>
      <c r="M3" s="126"/>
      <c r="N3" s="126"/>
      <c r="O3" s="126"/>
      <c r="P3" s="126"/>
    </row>
    <row r="4" spans="2:16" ht="21" x14ac:dyDescent="0.35">
      <c r="B4" s="127" t="s">
        <v>24</v>
      </c>
      <c r="C4" s="128"/>
      <c r="D4" s="128"/>
      <c r="E4" s="128"/>
      <c r="F4" s="128"/>
      <c r="G4" s="128"/>
      <c r="H4" s="128"/>
      <c r="I4" s="128"/>
      <c r="J4" s="128"/>
      <c r="K4" s="126"/>
      <c r="L4" s="126"/>
      <c r="M4" s="126"/>
      <c r="N4" s="126"/>
      <c r="O4" s="126"/>
      <c r="P4" s="126"/>
    </row>
    <row r="5" spans="2:16" x14ac:dyDescent="0.25">
      <c r="B5" s="129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</row>
    <row r="6" spans="2:16" ht="18.75" x14ac:dyDescent="0.3">
      <c r="B6" s="130" t="s">
        <v>25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</row>
    <row r="7" spans="2:16" x14ac:dyDescent="0.25"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</row>
    <row r="8" spans="2:16" ht="18.75" x14ac:dyDescent="0.3">
      <c r="B8" s="131" t="s">
        <v>26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</row>
    <row r="9" spans="2:16" ht="18.75" x14ac:dyDescent="0.3">
      <c r="B9" s="132" t="s">
        <v>27</v>
      </c>
      <c r="C9" s="132" t="s">
        <v>28</v>
      </c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26"/>
      <c r="P9" s="126"/>
    </row>
    <row r="10" spans="2:16" ht="18.75" x14ac:dyDescent="0.3">
      <c r="B10" s="132" t="s">
        <v>29</v>
      </c>
      <c r="C10" s="132" t="s">
        <v>30</v>
      </c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26"/>
      <c r="P10" s="126"/>
    </row>
    <row r="11" spans="2:16" ht="18.75" x14ac:dyDescent="0.3"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26"/>
      <c r="P11" s="126"/>
    </row>
    <row r="12" spans="2:16" ht="18.75" x14ac:dyDescent="0.3">
      <c r="B12" s="131" t="s">
        <v>5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26"/>
      <c r="P12" s="126"/>
    </row>
    <row r="13" spans="2:16" ht="18.75" x14ac:dyDescent="0.3">
      <c r="B13" s="132" t="s">
        <v>31</v>
      </c>
      <c r="C13" s="132" t="s">
        <v>32</v>
      </c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26"/>
      <c r="P13" s="126"/>
    </row>
    <row r="14" spans="2:16" ht="18.75" x14ac:dyDescent="0.3">
      <c r="B14" s="132" t="s">
        <v>33</v>
      </c>
      <c r="C14" s="132" t="s">
        <v>34</v>
      </c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26"/>
      <c r="P14" s="126"/>
    </row>
    <row r="15" spans="2:16" ht="18.75" x14ac:dyDescent="0.3">
      <c r="B15" s="132" t="s">
        <v>35</v>
      </c>
      <c r="C15" s="132" t="s">
        <v>36</v>
      </c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26"/>
      <c r="P15" s="126"/>
    </row>
    <row r="16" spans="2:16" ht="18.75" x14ac:dyDescent="0.3">
      <c r="B16" s="126"/>
      <c r="C16" s="126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26"/>
      <c r="P16" s="126"/>
    </row>
    <row r="17" spans="2:16" ht="18.75" x14ac:dyDescent="0.3"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26"/>
      <c r="P17" s="126"/>
    </row>
    <row r="18" spans="2:16" ht="18.75" x14ac:dyDescent="0.3">
      <c r="B18" s="13"/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A7" sqref="A7"/>
    </sheetView>
  </sheetViews>
  <sheetFormatPr baseColWidth="10" defaultColWidth="11.42578125" defaultRowHeight="15" x14ac:dyDescent="0.25"/>
  <cols>
    <col min="1" max="1" width="45.7109375" style="12" customWidth="1"/>
    <col min="2" max="2" width="166" style="12" customWidth="1"/>
    <col min="3" max="16384" width="11.42578125" style="12"/>
  </cols>
  <sheetData>
    <row r="1" spans="1:2" ht="23.25" customHeight="1" x14ac:dyDescent="0.25">
      <c r="A1" s="111" t="s">
        <v>37</v>
      </c>
      <c r="B1" s="111" t="s">
        <v>40</v>
      </c>
    </row>
    <row r="2" spans="1:2" ht="30" customHeight="1" x14ac:dyDescent="0.25">
      <c r="A2" s="12" t="s">
        <v>38</v>
      </c>
      <c r="B2" s="12" t="s">
        <v>41</v>
      </c>
    </row>
    <row r="3" spans="1:2" ht="30" customHeight="1" x14ac:dyDescent="0.25">
      <c r="A3" s="12" t="s">
        <v>58</v>
      </c>
      <c r="B3" s="12" t="s">
        <v>42</v>
      </c>
    </row>
    <row r="4" spans="1:2" ht="30" customHeight="1" x14ac:dyDescent="0.25">
      <c r="A4" s="12" t="s">
        <v>60</v>
      </c>
      <c r="B4" s="12" t="s">
        <v>43</v>
      </c>
    </row>
    <row r="5" spans="1:2" ht="30" customHeight="1" x14ac:dyDescent="0.25">
      <c r="A5" s="12" t="s">
        <v>59</v>
      </c>
      <c r="B5" s="12" t="s">
        <v>44</v>
      </c>
    </row>
    <row r="6" spans="1:2" ht="30" customHeight="1" x14ac:dyDescent="0.25">
      <c r="A6" s="12" t="s">
        <v>61</v>
      </c>
      <c r="B6" s="12" t="s">
        <v>45</v>
      </c>
    </row>
    <row r="7" spans="1:2" ht="30" customHeight="1" x14ac:dyDescent="0.25">
      <c r="A7" s="12" t="s">
        <v>39</v>
      </c>
      <c r="B7" s="12" t="s">
        <v>46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2" sqref="D2:D10"/>
    </sheetView>
  </sheetViews>
  <sheetFormatPr baseColWidth="10" defaultColWidth="11.42578125" defaultRowHeight="15" x14ac:dyDescent="0.25"/>
  <cols>
    <col min="1" max="1" width="11.42578125" style="6"/>
    <col min="2" max="2" width="16.140625" style="6" customWidth="1"/>
    <col min="3" max="4" width="11.42578125" style="6"/>
    <col min="5" max="5" width="17.85546875" style="6" customWidth="1"/>
    <col min="6" max="16384" width="11.42578125" style="6"/>
  </cols>
  <sheetData>
    <row r="1" spans="1:5" ht="39.75" customHeight="1" x14ac:dyDescent="0.25">
      <c r="A1" s="15" t="s">
        <v>0</v>
      </c>
      <c r="B1" s="15" t="s">
        <v>47</v>
      </c>
      <c r="C1" s="15" t="s">
        <v>48</v>
      </c>
      <c r="D1" s="15" t="s">
        <v>49</v>
      </c>
      <c r="E1" s="133" t="s">
        <v>50</v>
      </c>
    </row>
    <row r="2" spans="1:5" x14ac:dyDescent="0.25">
      <c r="A2" s="14">
        <v>1</v>
      </c>
      <c r="B2" s="16">
        <v>70</v>
      </c>
      <c r="C2" s="16">
        <v>1</v>
      </c>
      <c r="D2" s="134" t="s">
        <v>51</v>
      </c>
      <c r="E2" s="7">
        <v>3</v>
      </c>
    </row>
    <row r="3" spans="1:5" x14ac:dyDescent="0.25">
      <c r="A3" s="14">
        <v>2</v>
      </c>
      <c r="B3" s="16">
        <v>30</v>
      </c>
      <c r="C3" s="16">
        <v>0</v>
      </c>
      <c r="D3" s="134" t="s">
        <v>52</v>
      </c>
      <c r="E3" s="7">
        <v>4</v>
      </c>
    </row>
    <row r="4" spans="1:5" x14ac:dyDescent="0.25">
      <c r="A4" s="14">
        <v>3</v>
      </c>
      <c r="B4" s="16">
        <v>70</v>
      </c>
      <c r="C4" s="16">
        <v>1</v>
      </c>
      <c r="D4" s="134" t="s">
        <v>52</v>
      </c>
      <c r="E4" s="7">
        <v>1</v>
      </c>
    </row>
    <row r="5" spans="1:5" x14ac:dyDescent="0.25">
      <c r="A5" s="14">
        <v>4</v>
      </c>
      <c r="B5" s="16">
        <v>30</v>
      </c>
      <c r="C5" s="16">
        <v>1</v>
      </c>
      <c r="D5" s="134" t="s">
        <v>53</v>
      </c>
      <c r="E5" s="7">
        <v>6</v>
      </c>
    </row>
    <row r="6" spans="1:5" x14ac:dyDescent="0.25">
      <c r="A6" s="14">
        <v>5</v>
      </c>
      <c r="B6" s="16">
        <v>50</v>
      </c>
      <c r="C6" s="16">
        <v>1</v>
      </c>
      <c r="D6" s="134" t="s">
        <v>52</v>
      </c>
      <c r="E6" s="7">
        <v>8</v>
      </c>
    </row>
    <row r="7" spans="1:5" x14ac:dyDescent="0.25">
      <c r="A7" s="14">
        <v>6</v>
      </c>
      <c r="B7" s="16">
        <v>70</v>
      </c>
      <c r="C7" s="16">
        <v>0</v>
      </c>
      <c r="D7" s="134" t="s">
        <v>53</v>
      </c>
      <c r="E7" s="7">
        <v>2</v>
      </c>
    </row>
    <row r="8" spans="1:5" x14ac:dyDescent="0.25">
      <c r="A8" s="14">
        <v>7</v>
      </c>
      <c r="B8" s="16">
        <v>50</v>
      </c>
      <c r="C8" s="16">
        <v>0</v>
      </c>
      <c r="D8" s="134" t="s">
        <v>51</v>
      </c>
      <c r="E8" s="7">
        <v>9</v>
      </c>
    </row>
    <row r="9" spans="1:5" x14ac:dyDescent="0.25">
      <c r="A9" s="14">
        <v>8</v>
      </c>
      <c r="B9" s="16">
        <v>50</v>
      </c>
      <c r="C9" s="16">
        <v>1</v>
      </c>
      <c r="D9" s="134" t="s">
        <v>53</v>
      </c>
      <c r="E9" s="7">
        <v>10</v>
      </c>
    </row>
    <row r="10" spans="1:5" x14ac:dyDescent="0.25">
      <c r="A10" s="14">
        <v>9</v>
      </c>
      <c r="B10" s="16">
        <v>30</v>
      </c>
      <c r="C10" s="16">
        <v>1</v>
      </c>
      <c r="D10" s="134" t="s">
        <v>51</v>
      </c>
      <c r="E10" s="7">
        <v>7</v>
      </c>
    </row>
  </sheetData>
  <sortState ref="A2:E10">
    <sortCondition ref="A2:A10"/>
  </sortState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G1" sqref="G1"/>
    </sheetView>
  </sheetViews>
  <sheetFormatPr baseColWidth="10" defaultColWidth="10.85546875" defaultRowHeight="15" x14ac:dyDescent="0.25"/>
  <cols>
    <col min="1" max="1" width="11.42578125" style="10"/>
    <col min="2" max="2" width="20.7109375" customWidth="1"/>
    <col min="3" max="3" width="22.140625" customWidth="1"/>
    <col min="4" max="4" width="13.85546875" customWidth="1"/>
    <col min="5" max="5" width="15.85546875" customWidth="1"/>
    <col min="6" max="6" width="16.5703125" customWidth="1"/>
    <col min="7" max="7" width="19.7109375" customWidth="1"/>
  </cols>
  <sheetData>
    <row r="1" spans="1:7" ht="35.25" customHeight="1" x14ac:dyDescent="0.25">
      <c r="A1" s="135" t="s">
        <v>0</v>
      </c>
      <c r="B1" s="17" t="s">
        <v>54</v>
      </c>
      <c r="C1" s="17" t="s">
        <v>55</v>
      </c>
      <c r="D1" s="17" t="s">
        <v>48</v>
      </c>
      <c r="E1" s="17" t="s">
        <v>56</v>
      </c>
      <c r="F1" s="17" t="s">
        <v>57</v>
      </c>
      <c r="G1" s="136" t="s">
        <v>50</v>
      </c>
    </row>
    <row r="2" spans="1:7" x14ac:dyDescent="0.25">
      <c r="A2" s="10">
        <v>1</v>
      </c>
      <c r="B2" s="7">
        <v>0</v>
      </c>
      <c r="C2" s="7">
        <v>0</v>
      </c>
      <c r="D2" s="7">
        <v>1</v>
      </c>
      <c r="E2" s="7">
        <v>1</v>
      </c>
      <c r="F2" s="7">
        <v>0</v>
      </c>
      <c r="G2" s="7">
        <v>3</v>
      </c>
    </row>
    <row r="3" spans="1:7" x14ac:dyDescent="0.25">
      <c r="A3" s="10">
        <v>2</v>
      </c>
      <c r="B3" s="7">
        <v>1</v>
      </c>
      <c r="C3" s="7">
        <v>0</v>
      </c>
      <c r="D3" s="7">
        <v>0</v>
      </c>
      <c r="E3" s="7">
        <v>0</v>
      </c>
      <c r="F3" s="7">
        <v>0</v>
      </c>
      <c r="G3" s="7">
        <v>4</v>
      </c>
    </row>
    <row r="4" spans="1:7" x14ac:dyDescent="0.25">
      <c r="A4" s="10">
        <v>3</v>
      </c>
      <c r="B4" s="7">
        <v>0</v>
      </c>
      <c r="C4" s="7">
        <v>0</v>
      </c>
      <c r="D4" s="7">
        <v>1</v>
      </c>
      <c r="E4" s="7">
        <v>0</v>
      </c>
      <c r="F4" s="7">
        <v>0</v>
      </c>
      <c r="G4" s="7">
        <v>1</v>
      </c>
    </row>
    <row r="5" spans="1:7" x14ac:dyDescent="0.25">
      <c r="A5" s="10">
        <v>4</v>
      </c>
      <c r="B5" s="7">
        <v>1</v>
      </c>
      <c r="C5" s="7">
        <v>0</v>
      </c>
      <c r="D5" s="7">
        <v>1</v>
      </c>
      <c r="E5" s="7">
        <v>0</v>
      </c>
      <c r="F5" s="7">
        <v>1</v>
      </c>
      <c r="G5" s="7">
        <v>6</v>
      </c>
    </row>
    <row r="6" spans="1:7" x14ac:dyDescent="0.25">
      <c r="A6" s="10">
        <v>5</v>
      </c>
      <c r="B6" s="7">
        <v>0</v>
      </c>
      <c r="C6" s="7">
        <v>1</v>
      </c>
      <c r="D6" s="7">
        <v>1</v>
      </c>
      <c r="E6" s="7">
        <v>0</v>
      </c>
      <c r="F6" s="7">
        <v>0</v>
      </c>
      <c r="G6" s="7">
        <v>8</v>
      </c>
    </row>
    <row r="7" spans="1:7" x14ac:dyDescent="0.25">
      <c r="A7" s="10">
        <v>6</v>
      </c>
      <c r="B7" s="7">
        <v>0</v>
      </c>
      <c r="C7" s="7">
        <v>0</v>
      </c>
      <c r="D7" s="7">
        <v>0</v>
      </c>
      <c r="E7" s="7">
        <v>0</v>
      </c>
      <c r="F7" s="7">
        <v>1</v>
      </c>
      <c r="G7" s="7">
        <v>2</v>
      </c>
    </row>
    <row r="8" spans="1:7" x14ac:dyDescent="0.25">
      <c r="A8" s="10">
        <v>7</v>
      </c>
      <c r="B8" s="7">
        <v>0</v>
      </c>
      <c r="C8" s="7">
        <v>1</v>
      </c>
      <c r="D8" s="7">
        <v>0</v>
      </c>
      <c r="E8" s="7">
        <v>1</v>
      </c>
      <c r="F8" s="7">
        <v>0</v>
      </c>
      <c r="G8" s="7">
        <v>9</v>
      </c>
    </row>
    <row r="9" spans="1:7" x14ac:dyDescent="0.25">
      <c r="A9" s="10">
        <v>8</v>
      </c>
      <c r="B9" s="7">
        <v>0</v>
      </c>
      <c r="C9" s="7">
        <v>1</v>
      </c>
      <c r="D9" s="7">
        <v>1</v>
      </c>
      <c r="E9" s="7">
        <v>0</v>
      </c>
      <c r="F9" s="7">
        <v>1</v>
      </c>
      <c r="G9" s="7">
        <v>10</v>
      </c>
    </row>
    <row r="10" spans="1:7" x14ac:dyDescent="0.25">
      <c r="A10" s="10">
        <v>9</v>
      </c>
      <c r="B10" s="7">
        <v>1</v>
      </c>
      <c r="C10" s="7">
        <v>0</v>
      </c>
      <c r="D10" s="7">
        <v>1</v>
      </c>
      <c r="E10" s="7">
        <v>1</v>
      </c>
      <c r="F10" s="7">
        <v>0</v>
      </c>
      <c r="G10" s="7">
        <v>7</v>
      </c>
    </row>
    <row r="11" spans="1:7" x14ac:dyDescent="0.25">
      <c r="B11" s="8"/>
      <c r="C11" s="8"/>
      <c r="D11" s="8"/>
      <c r="E11" s="8"/>
      <c r="F11" s="8"/>
      <c r="G11" s="8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workbookViewId="0">
      <selection activeCell="N19" sqref="N19:O19"/>
    </sheetView>
  </sheetViews>
  <sheetFormatPr baseColWidth="10" defaultRowHeight="15" x14ac:dyDescent="0.25"/>
  <cols>
    <col min="1" max="1" width="35.28515625" customWidth="1"/>
    <col min="2" max="2" width="38.85546875" customWidth="1"/>
    <col min="3" max="3" width="20.5703125" bestFit="1" customWidth="1"/>
    <col min="4" max="4" width="27.85546875" bestFit="1" customWidth="1"/>
    <col min="5" max="5" width="13.28515625" bestFit="1" customWidth="1"/>
    <col min="6" max="6" width="11.5703125" bestFit="1" customWidth="1"/>
    <col min="7" max="7" width="10.85546875" bestFit="1" customWidth="1"/>
    <col min="9" max="9" width="13.28515625" customWidth="1"/>
    <col min="11" max="11" width="19.7109375" customWidth="1"/>
    <col min="13" max="13" width="21.28515625" customWidth="1"/>
    <col min="14" max="14" width="30.140625" customWidth="1"/>
    <col min="15" max="15" width="31.5703125" customWidth="1"/>
  </cols>
  <sheetData>
    <row r="1" spans="1:9" x14ac:dyDescent="0.25">
      <c r="A1" s="137" t="s">
        <v>62</v>
      </c>
      <c r="B1" s="126"/>
      <c r="C1" s="126"/>
      <c r="D1" s="126"/>
      <c r="E1" s="126"/>
      <c r="F1" s="126"/>
      <c r="G1" s="126"/>
      <c r="H1" s="126"/>
      <c r="I1" s="126"/>
    </row>
    <row r="2" spans="1:9" x14ac:dyDescent="0.25">
      <c r="A2" s="138" t="s">
        <v>63</v>
      </c>
      <c r="B2" s="126"/>
      <c r="C2" s="126"/>
      <c r="D2" s="126"/>
      <c r="E2" s="126"/>
      <c r="F2" s="126"/>
      <c r="G2" s="126"/>
      <c r="H2" s="126"/>
      <c r="I2" s="126"/>
    </row>
    <row r="4" spans="1:9" x14ac:dyDescent="0.25">
      <c r="A4" t="s">
        <v>64</v>
      </c>
    </row>
    <row r="5" spans="1:9" ht="15.75" thickBot="1" x14ac:dyDescent="0.3"/>
    <row r="6" spans="1:9" x14ac:dyDescent="0.25">
      <c r="A6" s="112" t="s">
        <v>65</v>
      </c>
      <c r="B6" s="112"/>
    </row>
    <row r="7" spans="1:9" x14ac:dyDescent="0.25">
      <c r="A7" s="1" t="s">
        <v>66</v>
      </c>
      <c r="B7" s="113">
        <v>0.99763233220975267</v>
      </c>
    </row>
    <row r="8" spans="1:9" x14ac:dyDescent="0.25">
      <c r="A8" s="1" t="s">
        <v>67</v>
      </c>
      <c r="B8" s="113">
        <v>0.99527027027027026</v>
      </c>
    </row>
    <row r="9" spans="1:9" x14ac:dyDescent="0.25">
      <c r="A9" s="1" t="s">
        <v>68</v>
      </c>
      <c r="B9" s="113">
        <v>0.98738738738738741</v>
      </c>
    </row>
    <row r="10" spans="1:9" x14ac:dyDescent="0.25">
      <c r="A10" s="1" t="s">
        <v>69</v>
      </c>
      <c r="B10" s="113">
        <v>0.36004114991154806</v>
      </c>
    </row>
    <row r="11" spans="1:9" ht="15.75" thickBot="1" x14ac:dyDescent="0.3">
      <c r="A11" s="2" t="s">
        <v>70</v>
      </c>
      <c r="B11" s="2">
        <v>9</v>
      </c>
    </row>
    <row r="13" spans="1:9" ht="15.75" thickBot="1" x14ac:dyDescent="0.3">
      <c r="A13" t="s">
        <v>2</v>
      </c>
    </row>
    <row r="14" spans="1:9" x14ac:dyDescent="0.25">
      <c r="A14" s="3"/>
      <c r="B14" s="3" t="s">
        <v>74</v>
      </c>
      <c r="C14" s="3" t="s">
        <v>75</v>
      </c>
      <c r="D14" s="3" t="s">
        <v>76</v>
      </c>
      <c r="E14" s="3" t="s">
        <v>77</v>
      </c>
      <c r="F14" s="3" t="s">
        <v>78</v>
      </c>
    </row>
    <row r="15" spans="1:9" x14ac:dyDescent="0.25">
      <c r="A15" s="1" t="s">
        <v>3</v>
      </c>
      <c r="B15" s="114">
        <v>5</v>
      </c>
      <c r="C15" s="116">
        <v>81.833333333333343</v>
      </c>
      <c r="D15" s="116">
        <v>16.366666666666667</v>
      </c>
      <c r="E15" s="116">
        <v>126.25714285714268</v>
      </c>
      <c r="F15" s="116">
        <v>1.0997203838432152E-3</v>
      </c>
    </row>
    <row r="16" spans="1:9" x14ac:dyDescent="0.25">
      <c r="A16" s="1" t="s">
        <v>71</v>
      </c>
      <c r="B16" s="114">
        <v>3</v>
      </c>
      <c r="C16" s="116">
        <v>0.38888888888888945</v>
      </c>
      <c r="D16" s="116">
        <v>0.12962962962962982</v>
      </c>
      <c r="E16" s="116"/>
      <c r="F16" s="116"/>
    </row>
    <row r="17" spans="1:15" ht="15.75" thickBot="1" x14ac:dyDescent="0.3">
      <c r="A17" s="2" t="s">
        <v>72</v>
      </c>
      <c r="B17" s="115">
        <v>8</v>
      </c>
      <c r="C17" s="117">
        <v>82.222222222222229</v>
      </c>
      <c r="D17" s="117"/>
      <c r="E17" s="117"/>
      <c r="F17" s="117"/>
    </row>
    <row r="18" spans="1:15" ht="15.75" thickBot="1" x14ac:dyDescent="0.3"/>
    <row r="19" spans="1:15" x14ac:dyDescent="0.25">
      <c r="A19" s="3"/>
      <c r="B19" s="3" t="s">
        <v>79</v>
      </c>
      <c r="C19" s="3" t="s">
        <v>69</v>
      </c>
      <c r="D19" s="3" t="s">
        <v>80</v>
      </c>
      <c r="E19" s="3" t="s">
        <v>81</v>
      </c>
      <c r="F19" s="3" t="s">
        <v>82</v>
      </c>
      <c r="G19" s="3" t="s">
        <v>83</v>
      </c>
      <c r="I19" s="126"/>
      <c r="J19" s="139" t="s">
        <v>89</v>
      </c>
      <c r="K19" s="140" t="s">
        <v>90</v>
      </c>
      <c r="M19" s="126"/>
      <c r="N19" s="140" t="s">
        <v>92</v>
      </c>
      <c r="O19" s="140" t="s">
        <v>93</v>
      </c>
    </row>
    <row r="20" spans="1:15" x14ac:dyDescent="0.25">
      <c r="A20" s="1" t="s">
        <v>73</v>
      </c>
      <c r="B20" s="116">
        <v>0.22222222222222243</v>
      </c>
      <c r="C20" s="116">
        <v>0.31752644813856035</v>
      </c>
      <c r="D20" s="116">
        <v>0.69985421222376532</v>
      </c>
      <c r="E20" s="116">
        <v>0.53440619146167789</v>
      </c>
      <c r="F20" s="116">
        <v>-0.78828864948619815</v>
      </c>
      <c r="G20" s="116">
        <v>1.2327330939306429</v>
      </c>
      <c r="I20" s="5"/>
      <c r="J20" s="11"/>
      <c r="M20" s="1" t="s">
        <v>73</v>
      </c>
      <c r="O20" s="121">
        <f>B20/$N$26</f>
        <v>2.2099447513812175E-2</v>
      </c>
    </row>
    <row r="21" spans="1:15" x14ac:dyDescent="0.25">
      <c r="A21" s="1" t="s">
        <v>54</v>
      </c>
      <c r="B21" s="116">
        <v>3.6666666666666674</v>
      </c>
      <c r="C21" s="116">
        <v>0.29397236789606579</v>
      </c>
      <c r="D21" s="116">
        <v>12.472827609304494</v>
      </c>
      <c r="E21" s="116">
        <v>1.1107502843956747E-3</v>
      </c>
      <c r="F21" s="116">
        <v>2.7311153906003298</v>
      </c>
      <c r="G21" s="116">
        <v>4.602217942733005</v>
      </c>
      <c r="I21" s="5" t="s">
        <v>47</v>
      </c>
      <c r="J21" s="121">
        <f>MAX(B21:B22,0)-MIN(B21:B22,0)</f>
        <v>7.0000000000000009</v>
      </c>
      <c r="K21" s="120">
        <f>J21/$J$24</f>
        <v>0.71186440677966123</v>
      </c>
      <c r="M21" s="1" t="s">
        <v>54</v>
      </c>
      <c r="N21" s="124">
        <f>B21-0</f>
        <v>3.6666666666666674</v>
      </c>
      <c r="O21" s="121">
        <f>N21/$N$26</f>
        <v>0.36464088397790062</v>
      </c>
    </row>
    <row r="22" spans="1:15" x14ac:dyDescent="0.25">
      <c r="A22" s="1" t="s">
        <v>55</v>
      </c>
      <c r="B22" s="116">
        <v>7.0000000000000009</v>
      </c>
      <c r="C22" s="116">
        <v>0.29397236789606579</v>
      </c>
      <c r="D22" s="116">
        <v>23.811761799581305</v>
      </c>
      <c r="E22" s="116">
        <v>1.623101155098852E-4</v>
      </c>
      <c r="F22" s="116">
        <v>6.0644487239336629</v>
      </c>
      <c r="G22" s="116">
        <v>7.9355512760663389</v>
      </c>
      <c r="I22" s="5" t="s">
        <v>48</v>
      </c>
      <c r="J22" s="121">
        <f>MAX(B23,0)-MIN(B23,0)</f>
        <v>0.83333333333333248</v>
      </c>
      <c r="K22" s="120">
        <f t="shared" ref="K22:K23" si="0">J22/$J$24</f>
        <v>8.4745762711864334E-2</v>
      </c>
      <c r="M22" s="1" t="s">
        <v>55</v>
      </c>
      <c r="N22" s="124">
        <f>B22-0</f>
        <v>7.0000000000000009</v>
      </c>
      <c r="O22" s="121">
        <f t="shared" ref="O22:O25" si="1">N22/$N$26</f>
        <v>0.69613259668508298</v>
      </c>
    </row>
    <row r="23" spans="1:15" x14ac:dyDescent="0.25">
      <c r="A23" s="1" t="s">
        <v>48</v>
      </c>
      <c r="B23" s="116">
        <v>0.83333333333333248</v>
      </c>
      <c r="C23" s="116">
        <v>0.25458753860865796</v>
      </c>
      <c r="D23" s="116">
        <v>3.2732683535398799</v>
      </c>
      <c r="E23" s="116">
        <v>4.666188191978228E-2</v>
      </c>
      <c r="F23" s="116">
        <v>2.3122161716935374E-2</v>
      </c>
      <c r="G23" s="116">
        <v>1.6435445049497295</v>
      </c>
      <c r="I23" s="118" t="s">
        <v>49</v>
      </c>
      <c r="J23" s="123">
        <f>MAX(B24:B25,0)-MIN(B24:B25,0)</f>
        <v>2</v>
      </c>
      <c r="K23" s="143">
        <f t="shared" si="0"/>
        <v>0.20338983050847459</v>
      </c>
      <c r="M23" s="1" t="s">
        <v>48</v>
      </c>
      <c r="N23" s="124">
        <f>B23-0</f>
        <v>0.83333333333333248</v>
      </c>
      <c r="O23" s="121">
        <f t="shared" si="1"/>
        <v>8.2872928176795493E-2</v>
      </c>
    </row>
    <row r="24" spans="1:15" x14ac:dyDescent="0.25">
      <c r="A24" s="1" t="s">
        <v>56</v>
      </c>
      <c r="B24" s="116">
        <v>2</v>
      </c>
      <c r="C24" s="116">
        <v>0.2939723678960659</v>
      </c>
      <c r="D24" s="116">
        <v>6.8033605141660836</v>
      </c>
      <c r="E24" s="116">
        <v>6.4940044801816551E-3</v>
      </c>
      <c r="F24" s="116">
        <v>1.064448723933662</v>
      </c>
      <c r="G24" s="116">
        <v>2.935551276066338</v>
      </c>
      <c r="I24" s="5" t="s">
        <v>88</v>
      </c>
      <c r="J24" s="121">
        <f>SUM(J21:J23)</f>
        <v>9.8333333333333321</v>
      </c>
      <c r="K24" s="10"/>
      <c r="M24" s="1" t="s">
        <v>56</v>
      </c>
      <c r="N24" s="124">
        <f>B24</f>
        <v>2</v>
      </c>
      <c r="O24" s="121">
        <f t="shared" si="1"/>
        <v>0.19889502762430938</v>
      </c>
    </row>
    <row r="25" spans="1:15" ht="15.75" thickBot="1" x14ac:dyDescent="0.3">
      <c r="A25" s="2" t="s">
        <v>57</v>
      </c>
      <c r="B25" s="117">
        <v>1.666666666666667</v>
      </c>
      <c r="C25" s="117">
        <v>0.29397236789606579</v>
      </c>
      <c r="D25" s="117">
        <v>5.6694670951384065</v>
      </c>
      <c r="E25" s="117">
        <v>1.0869814701646521E-2</v>
      </c>
      <c r="F25" s="117">
        <v>0.73111539060032915</v>
      </c>
      <c r="G25" s="117">
        <v>2.602217942733005</v>
      </c>
      <c r="M25" s="122" t="s">
        <v>57</v>
      </c>
      <c r="N25" s="125">
        <f>B25</f>
        <v>1.666666666666667</v>
      </c>
      <c r="O25" s="123">
        <f t="shared" si="1"/>
        <v>0.16574585635359118</v>
      </c>
    </row>
    <row r="26" spans="1:15" x14ac:dyDescent="0.25">
      <c r="M26" s="141" t="s">
        <v>91</v>
      </c>
      <c r="N26" s="142">
        <f>B20+N22+N23+N24</f>
        <v>10.055555555555555</v>
      </c>
    </row>
    <row r="29" spans="1:15" x14ac:dyDescent="0.25">
      <c r="A29" t="s">
        <v>84</v>
      </c>
    </row>
    <row r="30" spans="1:15" ht="15.75" thickBot="1" x14ac:dyDescent="0.3"/>
    <row r="31" spans="1:15" x14ac:dyDescent="0.25">
      <c r="A31" s="3" t="s">
        <v>85</v>
      </c>
      <c r="B31" s="3" t="s">
        <v>86</v>
      </c>
      <c r="C31" s="3" t="s">
        <v>87</v>
      </c>
    </row>
    <row r="32" spans="1:15" x14ac:dyDescent="0.25">
      <c r="A32" s="114">
        <v>1</v>
      </c>
      <c r="B32" s="116">
        <v>3.0555555555555549</v>
      </c>
      <c r="C32" s="116">
        <v>-5.5555555555554914E-2</v>
      </c>
    </row>
    <row r="33" spans="1:3" x14ac:dyDescent="0.25">
      <c r="A33" s="114">
        <v>2</v>
      </c>
      <c r="B33" s="116">
        <v>3.8888888888888897</v>
      </c>
      <c r="C33" s="116">
        <v>0.11111111111111027</v>
      </c>
    </row>
    <row r="34" spans="1:3" x14ac:dyDescent="0.25">
      <c r="A34" s="114">
        <v>3</v>
      </c>
      <c r="B34" s="116">
        <v>1.0555555555555549</v>
      </c>
      <c r="C34" s="116">
        <v>-5.5555555555554914E-2</v>
      </c>
    </row>
    <row r="35" spans="1:3" x14ac:dyDescent="0.25">
      <c r="A35" s="114">
        <v>4</v>
      </c>
      <c r="B35" s="116">
        <v>6.3888888888888893</v>
      </c>
      <c r="C35" s="116">
        <v>-0.38888888888888928</v>
      </c>
    </row>
    <row r="36" spans="1:3" x14ac:dyDescent="0.25">
      <c r="A36" s="114">
        <v>5</v>
      </c>
      <c r="B36" s="116">
        <v>8.0555555555555554</v>
      </c>
      <c r="C36" s="116">
        <v>-5.5555555555555358E-2</v>
      </c>
    </row>
    <row r="37" spans="1:3" x14ac:dyDescent="0.25">
      <c r="A37" s="114">
        <v>6</v>
      </c>
      <c r="B37" s="116">
        <v>1.8888888888888893</v>
      </c>
      <c r="C37" s="116">
        <v>0.11111111111111072</v>
      </c>
    </row>
    <row r="38" spans="1:3" x14ac:dyDescent="0.25">
      <c r="A38" s="114">
        <v>7</v>
      </c>
      <c r="B38" s="116">
        <v>9.2222222222222232</v>
      </c>
      <c r="C38" s="116">
        <v>-0.22222222222222321</v>
      </c>
    </row>
    <row r="39" spans="1:3" x14ac:dyDescent="0.25">
      <c r="A39" s="114">
        <v>8</v>
      </c>
      <c r="B39" s="116">
        <v>9.7222222222222214</v>
      </c>
      <c r="C39" s="116">
        <v>0.27777777777777857</v>
      </c>
    </row>
    <row r="40" spans="1:3" ht="15.75" thickBot="1" x14ac:dyDescent="0.3">
      <c r="A40" s="115">
        <v>9</v>
      </c>
      <c r="B40" s="117">
        <v>6.7222222222222223</v>
      </c>
      <c r="C40" s="117">
        <v>0.27777777777777768</v>
      </c>
    </row>
    <row r="43" spans="1:3" x14ac:dyDescent="0.25">
      <c r="A43" s="140" t="s">
        <v>4</v>
      </c>
      <c r="B43" s="144" t="e">
        <f>CORREL('CA Daten Teilnutzenwertmodell'!G2:G10,#REF!)</f>
        <v>#REF!</v>
      </c>
    </row>
  </sheetData>
  <pageMargins left="0.7" right="0.7" top="0.78740157499999996" bottom="0.78740157499999996" header="0.3" footer="0.3"/>
  <ignoredErrors>
    <ignoredError sqref="J21 J2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H6" sqref="H6"/>
    </sheetView>
  </sheetViews>
  <sheetFormatPr baseColWidth="10" defaultColWidth="10.85546875" defaultRowHeight="15" x14ac:dyDescent="0.25"/>
  <cols>
    <col min="2" max="2" width="22.7109375" customWidth="1"/>
    <col min="3" max="3" width="19.42578125" customWidth="1"/>
    <col min="6" max="6" width="16.85546875" customWidth="1"/>
  </cols>
  <sheetData>
    <row r="1" spans="1:6" ht="45" x14ac:dyDescent="0.25">
      <c r="A1" s="135" t="s">
        <v>0</v>
      </c>
      <c r="B1" s="17" t="s">
        <v>54</v>
      </c>
      <c r="C1" s="17" t="s">
        <v>55</v>
      </c>
      <c r="D1" s="17" t="s">
        <v>48</v>
      </c>
      <c r="E1" s="17" t="s">
        <v>1</v>
      </c>
      <c r="F1" s="136" t="s">
        <v>50</v>
      </c>
    </row>
    <row r="2" spans="1:6" x14ac:dyDescent="0.25">
      <c r="A2" s="10">
        <v>1</v>
      </c>
      <c r="B2" s="7">
        <v>0</v>
      </c>
      <c r="C2" s="7">
        <v>0</v>
      </c>
      <c r="D2" s="7">
        <v>1</v>
      </c>
      <c r="E2" s="9">
        <v>0.8</v>
      </c>
      <c r="F2" s="7">
        <v>3</v>
      </c>
    </row>
    <row r="3" spans="1:6" x14ac:dyDescent="0.25">
      <c r="A3" s="10">
        <v>2</v>
      </c>
      <c r="B3" s="7">
        <v>1</v>
      </c>
      <c r="C3" s="7">
        <v>0</v>
      </c>
      <c r="D3" s="7">
        <v>0</v>
      </c>
      <c r="E3" s="9">
        <v>1.2</v>
      </c>
      <c r="F3" s="7">
        <v>4</v>
      </c>
    </row>
    <row r="4" spans="1:6" x14ac:dyDescent="0.25">
      <c r="A4" s="10">
        <v>3</v>
      </c>
      <c r="B4" s="7">
        <v>0</v>
      </c>
      <c r="C4" s="7">
        <v>0</v>
      </c>
      <c r="D4" s="7">
        <v>1</v>
      </c>
      <c r="E4" s="9">
        <v>1.2</v>
      </c>
      <c r="F4" s="7">
        <v>1</v>
      </c>
    </row>
    <row r="5" spans="1:6" x14ac:dyDescent="0.25">
      <c r="A5" s="10">
        <v>4</v>
      </c>
      <c r="B5" s="7">
        <v>1</v>
      </c>
      <c r="C5" s="7">
        <v>0</v>
      </c>
      <c r="D5" s="7">
        <v>1</v>
      </c>
      <c r="E5" s="9">
        <v>1</v>
      </c>
      <c r="F5" s="7">
        <v>6</v>
      </c>
    </row>
    <row r="6" spans="1:6" x14ac:dyDescent="0.25">
      <c r="A6" s="10">
        <v>5</v>
      </c>
      <c r="B6" s="7">
        <v>0</v>
      </c>
      <c r="C6" s="7">
        <v>1</v>
      </c>
      <c r="D6" s="7">
        <v>1</v>
      </c>
      <c r="E6" s="9">
        <v>1.2</v>
      </c>
      <c r="F6" s="7">
        <v>8</v>
      </c>
    </row>
    <row r="7" spans="1:6" x14ac:dyDescent="0.25">
      <c r="A7" s="10">
        <v>6</v>
      </c>
      <c r="B7" s="7">
        <v>0</v>
      </c>
      <c r="C7" s="7">
        <v>0</v>
      </c>
      <c r="D7" s="7">
        <v>0</v>
      </c>
      <c r="E7" s="9">
        <v>1</v>
      </c>
      <c r="F7" s="7">
        <v>2</v>
      </c>
    </row>
    <row r="8" spans="1:6" x14ac:dyDescent="0.25">
      <c r="A8" s="10">
        <v>7</v>
      </c>
      <c r="B8" s="7">
        <v>0</v>
      </c>
      <c r="C8" s="7">
        <v>1</v>
      </c>
      <c r="D8" s="7">
        <v>0</v>
      </c>
      <c r="E8" s="9">
        <v>0.8</v>
      </c>
      <c r="F8" s="7">
        <v>9</v>
      </c>
    </row>
    <row r="9" spans="1:6" x14ac:dyDescent="0.25">
      <c r="A9" s="10">
        <v>8</v>
      </c>
      <c r="B9" s="7">
        <v>0</v>
      </c>
      <c r="C9" s="7">
        <v>1</v>
      </c>
      <c r="D9" s="7">
        <v>1</v>
      </c>
      <c r="E9" s="9">
        <v>1</v>
      </c>
      <c r="F9" s="7">
        <v>10</v>
      </c>
    </row>
    <row r="10" spans="1:6" x14ac:dyDescent="0.25">
      <c r="A10" s="10">
        <v>9</v>
      </c>
      <c r="B10" s="7">
        <v>1</v>
      </c>
      <c r="C10" s="7">
        <v>0</v>
      </c>
      <c r="D10" s="7">
        <v>1</v>
      </c>
      <c r="E10" s="9">
        <v>0.8</v>
      </c>
      <c r="F10" s="7">
        <v>7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workbookViewId="0">
      <selection activeCell="D50" sqref="D50"/>
    </sheetView>
  </sheetViews>
  <sheetFormatPr baseColWidth="10" defaultColWidth="10.85546875" defaultRowHeight="15" x14ac:dyDescent="0.25"/>
  <cols>
    <col min="1" max="1" width="39.5703125" customWidth="1"/>
    <col min="2" max="2" width="38.42578125" customWidth="1"/>
    <col min="3" max="3" width="21.85546875" customWidth="1"/>
    <col min="4" max="4" width="32" customWidth="1"/>
    <col min="5" max="5" width="16.28515625" customWidth="1"/>
    <col min="8" max="8" width="10.140625" customWidth="1"/>
    <col min="9" max="9" width="19.5703125" customWidth="1"/>
    <col min="11" max="11" width="23" customWidth="1"/>
    <col min="12" max="12" width="21" customWidth="1"/>
    <col min="13" max="13" width="21.85546875" bestFit="1" customWidth="1"/>
    <col min="14" max="14" width="29.140625" bestFit="1" customWidth="1"/>
    <col min="15" max="15" width="29.5703125" bestFit="1" customWidth="1"/>
  </cols>
  <sheetData>
    <row r="1" spans="1:7" x14ac:dyDescent="0.25">
      <c r="A1" s="137" t="s">
        <v>62</v>
      </c>
      <c r="B1" s="126"/>
      <c r="C1" s="126"/>
      <c r="D1" s="126"/>
      <c r="E1" s="126"/>
      <c r="F1" s="126"/>
      <c r="G1" s="126"/>
    </row>
    <row r="2" spans="1:7" x14ac:dyDescent="0.25">
      <c r="A2" s="138" t="s">
        <v>63</v>
      </c>
      <c r="B2" s="126"/>
      <c r="C2" s="126"/>
      <c r="D2" s="126"/>
      <c r="E2" s="126"/>
      <c r="F2" s="126"/>
      <c r="G2" s="126"/>
    </row>
    <row r="4" spans="1:7" x14ac:dyDescent="0.25">
      <c r="A4" t="s">
        <v>64</v>
      </c>
    </row>
    <row r="5" spans="1:7" ht="15.75" thickBot="1" x14ac:dyDescent="0.3"/>
    <row r="6" spans="1:7" x14ac:dyDescent="0.25">
      <c r="A6" s="112" t="s">
        <v>65</v>
      </c>
      <c r="B6" s="112"/>
    </row>
    <row r="7" spans="1:7" x14ac:dyDescent="0.25">
      <c r="A7" s="1" t="s">
        <v>66</v>
      </c>
      <c r="B7" s="113">
        <v>0.99219930430305148</v>
      </c>
    </row>
    <row r="8" spans="1:7" x14ac:dyDescent="0.25">
      <c r="A8" s="1" t="s">
        <v>67</v>
      </c>
      <c r="B8" s="113">
        <v>0.98445945945945934</v>
      </c>
    </row>
    <row r="9" spans="1:7" x14ac:dyDescent="0.25">
      <c r="A9" s="1" t="s">
        <v>68</v>
      </c>
      <c r="B9" s="113">
        <v>0.96891891891891868</v>
      </c>
    </row>
    <row r="10" spans="1:7" x14ac:dyDescent="0.25">
      <c r="A10" s="1" t="s">
        <v>69</v>
      </c>
      <c r="B10" s="113">
        <v>0.5651941652604392</v>
      </c>
    </row>
    <row r="11" spans="1:7" ht="15.75" thickBot="1" x14ac:dyDescent="0.3">
      <c r="A11" s="2" t="s">
        <v>70</v>
      </c>
      <c r="B11" s="2">
        <v>9</v>
      </c>
    </row>
    <row r="13" spans="1:7" ht="15.75" thickBot="1" x14ac:dyDescent="0.3">
      <c r="A13" t="s">
        <v>2</v>
      </c>
    </row>
    <row r="14" spans="1:7" x14ac:dyDescent="0.25">
      <c r="A14" s="3"/>
      <c r="B14" s="3" t="s">
        <v>74</v>
      </c>
      <c r="C14" s="3" t="s">
        <v>75</v>
      </c>
      <c r="D14" s="3" t="s">
        <v>76</v>
      </c>
      <c r="E14" s="3" t="s">
        <v>77</v>
      </c>
      <c r="F14" s="3" t="s">
        <v>78</v>
      </c>
    </row>
    <row r="15" spans="1:7" x14ac:dyDescent="0.25">
      <c r="A15" s="1" t="s">
        <v>3</v>
      </c>
      <c r="B15" s="1">
        <v>4</v>
      </c>
      <c r="C15" s="116">
        <v>80.944444444444443</v>
      </c>
      <c r="D15" s="116">
        <v>20.236111111111111</v>
      </c>
      <c r="E15" s="116">
        <v>63.347826086956474</v>
      </c>
      <c r="F15" s="116">
        <v>7.1701885870531002E-4</v>
      </c>
    </row>
    <row r="16" spans="1:7" x14ac:dyDescent="0.25">
      <c r="A16" s="1" t="s">
        <v>71</v>
      </c>
      <c r="B16" s="1">
        <v>4</v>
      </c>
      <c r="C16" s="116">
        <v>1.2777777777777788</v>
      </c>
      <c r="D16" s="116">
        <v>0.3194444444444447</v>
      </c>
      <c r="E16" s="116"/>
      <c r="F16" s="116"/>
    </row>
    <row r="17" spans="1:15" ht="15.75" thickBot="1" x14ac:dyDescent="0.3">
      <c r="A17" s="2" t="s">
        <v>72</v>
      </c>
      <c r="B17" s="2">
        <v>8</v>
      </c>
      <c r="C17" s="117">
        <v>82.222222222222229</v>
      </c>
      <c r="D17" s="117"/>
      <c r="E17" s="117"/>
      <c r="F17" s="117"/>
    </row>
    <row r="18" spans="1:15" ht="15.75" thickBot="1" x14ac:dyDescent="0.3"/>
    <row r="19" spans="1:15" x14ac:dyDescent="0.25">
      <c r="A19" s="3"/>
      <c r="B19" s="3" t="s">
        <v>79</v>
      </c>
      <c r="C19" s="3" t="s">
        <v>69</v>
      </c>
      <c r="D19" s="3" t="s">
        <v>80</v>
      </c>
      <c r="E19" s="3" t="s">
        <v>81</v>
      </c>
      <c r="F19" s="3" t="s">
        <v>82</v>
      </c>
      <c r="G19" s="3" t="s">
        <v>83</v>
      </c>
      <c r="I19" s="126"/>
      <c r="J19" s="139" t="s">
        <v>89</v>
      </c>
      <c r="K19" s="140" t="s">
        <v>90</v>
      </c>
      <c r="M19" s="145"/>
      <c r="N19" s="140" t="s">
        <v>92</v>
      </c>
      <c r="O19" s="140" t="s">
        <v>93</v>
      </c>
    </row>
    <row r="20" spans="1:15" x14ac:dyDescent="0.25">
      <c r="A20" s="1" t="s">
        <v>73</v>
      </c>
      <c r="B20" s="116">
        <v>6.4444444444444429</v>
      </c>
      <c r="C20" s="116">
        <v>1.2282050538574529</v>
      </c>
      <c r="D20" s="116">
        <v>5.2470427671700444</v>
      </c>
      <c r="E20" s="116">
        <v>6.3098977206054417E-3</v>
      </c>
      <c r="F20" s="116">
        <v>3.0344005344827254</v>
      </c>
      <c r="G20" s="116">
        <v>9.8544883544061612</v>
      </c>
      <c r="I20" s="5"/>
      <c r="J20" s="11"/>
      <c r="L20" s="4"/>
      <c r="M20" s="1" t="s">
        <v>73</v>
      </c>
      <c r="O20" s="121">
        <f>B20/$N$26</f>
        <v>0.39590443686006821</v>
      </c>
    </row>
    <row r="21" spans="1:15" x14ac:dyDescent="0.25">
      <c r="A21" s="1" t="s">
        <v>54</v>
      </c>
      <c r="B21" s="116">
        <v>3.6666666666666674</v>
      </c>
      <c r="C21" s="116">
        <v>0.46147910349544874</v>
      </c>
      <c r="D21" s="116">
        <v>7.9454663036607664</v>
      </c>
      <c r="E21" s="116">
        <v>1.3587789931760617E-3</v>
      </c>
      <c r="F21" s="116">
        <v>2.385395268615663</v>
      </c>
      <c r="G21" s="116">
        <v>4.9479380647176718</v>
      </c>
      <c r="I21" s="5" t="s">
        <v>47</v>
      </c>
      <c r="J21" s="11">
        <f>MAX(B21:B22,0)-MIN(B21:B22,0)</f>
        <v>7.0000000000000009</v>
      </c>
      <c r="K21" s="120">
        <f>J21/$J$24</f>
        <v>0.71186440677966123</v>
      </c>
      <c r="L21" s="4"/>
      <c r="M21" s="1" t="s">
        <v>54</v>
      </c>
      <c r="N21" s="124">
        <f>B21-0</f>
        <v>3.6666666666666674</v>
      </c>
      <c r="O21" s="121">
        <f>N21/$N$26</f>
        <v>0.22525597269624581</v>
      </c>
    </row>
    <row r="22" spans="1:15" x14ac:dyDescent="0.25">
      <c r="A22" s="1" t="s">
        <v>55</v>
      </c>
      <c r="B22" s="116">
        <v>7.0000000000000009</v>
      </c>
      <c r="C22" s="116">
        <v>0.46147910349544874</v>
      </c>
      <c r="D22" s="116">
        <v>15.168617488806916</v>
      </c>
      <c r="E22" s="116">
        <v>1.1012537719675193E-4</v>
      </c>
      <c r="F22" s="116">
        <v>5.718728601948996</v>
      </c>
      <c r="G22" s="116">
        <v>8.2812713980510058</v>
      </c>
      <c r="I22" s="5" t="s">
        <v>48</v>
      </c>
      <c r="J22" s="11">
        <f>MAX(B23,0)-MIN(B23,0)</f>
        <v>0.83333333333333315</v>
      </c>
      <c r="K22" s="120">
        <f t="shared" ref="K22:K23" si="0">J22/$J$24</f>
        <v>8.4745762711864403E-2</v>
      </c>
      <c r="L22" s="4"/>
      <c r="M22" s="1" t="s">
        <v>55</v>
      </c>
      <c r="N22" s="124">
        <f>B22-0</f>
        <v>7.0000000000000009</v>
      </c>
      <c r="O22" s="121">
        <f t="shared" ref="O22:O25" si="1">N22/$N$26</f>
        <v>0.43003412969283289</v>
      </c>
    </row>
    <row r="23" spans="1:15" x14ac:dyDescent="0.25">
      <c r="A23" s="1" t="s">
        <v>48</v>
      </c>
      <c r="B23" s="116">
        <v>0.83333333333333315</v>
      </c>
      <c r="C23" s="116">
        <v>0.39965262694272674</v>
      </c>
      <c r="D23" s="116">
        <v>2.0851441405707467</v>
      </c>
      <c r="E23" s="116">
        <v>0.10540778602128313</v>
      </c>
      <c r="F23" s="116">
        <v>-0.27628024652124028</v>
      </c>
      <c r="G23" s="116">
        <v>1.9429469131879067</v>
      </c>
      <c r="I23" s="118" t="s">
        <v>49</v>
      </c>
      <c r="J23" s="119">
        <f>B24*0.8-B24*1.2</f>
        <v>1.9999999999999987</v>
      </c>
      <c r="K23" s="143">
        <f t="shared" si="0"/>
        <v>0.20338983050847448</v>
      </c>
      <c r="L23" s="4"/>
      <c r="M23" s="1" t="s">
        <v>48</v>
      </c>
      <c r="N23" s="124">
        <f>B23-0</f>
        <v>0.83333333333333315</v>
      </c>
      <c r="O23" s="121">
        <f t="shared" si="1"/>
        <v>5.1194539249146756E-2</v>
      </c>
    </row>
    <row r="24" spans="1:15" ht="15.75" thickBot="1" x14ac:dyDescent="0.3">
      <c r="A24" s="2" t="s">
        <v>49</v>
      </c>
      <c r="B24" s="117">
        <v>-4.9999999999999982</v>
      </c>
      <c r="C24" s="117">
        <v>1.1536977587386221</v>
      </c>
      <c r="D24" s="117">
        <v>-4.3338907110876876</v>
      </c>
      <c r="E24" s="117">
        <v>1.2311951554853899E-2</v>
      </c>
      <c r="F24" s="117">
        <v>-8.20317849512751</v>
      </c>
      <c r="G24" s="117">
        <v>-1.796821504872486</v>
      </c>
      <c r="I24" s="5" t="s">
        <v>88</v>
      </c>
      <c r="J24" s="11">
        <f>SUM(J21:J23)</f>
        <v>9.8333333333333321</v>
      </c>
      <c r="L24" s="4"/>
      <c r="M24" s="1" t="s">
        <v>56</v>
      </c>
      <c r="N24" s="124">
        <f>B24*0.8-B24*1.2</f>
        <v>1.9999999999999987</v>
      </c>
      <c r="O24" s="121">
        <f t="shared" si="1"/>
        <v>0.12286689419795216</v>
      </c>
    </row>
    <row r="25" spans="1:15" x14ac:dyDescent="0.25">
      <c r="I25" s="5"/>
      <c r="J25" s="11"/>
      <c r="L25" s="4"/>
      <c r="M25" s="122" t="s">
        <v>57</v>
      </c>
      <c r="N25" s="125">
        <f>B24*1-B24*1.2</f>
        <v>0.99999999999999911</v>
      </c>
      <c r="O25" s="121">
        <f t="shared" si="1"/>
        <v>6.1433447098976066E-2</v>
      </c>
    </row>
    <row r="26" spans="1:15" x14ac:dyDescent="0.25">
      <c r="J26" s="4"/>
      <c r="M26" s="141" t="s">
        <v>94</v>
      </c>
      <c r="N26" s="142">
        <f>B20+N22+N23+N24</f>
        <v>16.277777777777775</v>
      </c>
    </row>
    <row r="28" spans="1:15" x14ac:dyDescent="0.25">
      <c r="A28" t="s">
        <v>84</v>
      </c>
    </row>
    <row r="29" spans="1:15" ht="15.75" thickBot="1" x14ac:dyDescent="0.3"/>
    <row r="30" spans="1:15" x14ac:dyDescent="0.25">
      <c r="A30" s="3" t="s">
        <v>85</v>
      </c>
      <c r="B30" s="3" t="s">
        <v>86</v>
      </c>
      <c r="C30" s="3" t="s">
        <v>87</v>
      </c>
    </row>
    <row r="31" spans="1:15" x14ac:dyDescent="0.25">
      <c r="A31" s="114">
        <v>1</v>
      </c>
      <c r="B31" s="116">
        <v>3.2777777777777772</v>
      </c>
      <c r="C31" s="116">
        <v>-0.27777777777777724</v>
      </c>
    </row>
    <row r="32" spans="1:15" x14ac:dyDescent="0.25">
      <c r="A32" s="114">
        <v>2</v>
      </c>
      <c r="B32" s="116">
        <v>4.1111111111111134</v>
      </c>
      <c r="C32" s="116">
        <v>-0.11111111111111338</v>
      </c>
    </row>
    <row r="33" spans="1:3" x14ac:dyDescent="0.25">
      <c r="A33" s="114">
        <v>3</v>
      </c>
      <c r="B33" s="116">
        <v>1.2777777777777786</v>
      </c>
      <c r="C33" s="116">
        <v>-0.27777777777777857</v>
      </c>
    </row>
    <row r="34" spans="1:3" x14ac:dyDescent="0.25">
      <c r="A34" s="114">
        <v>4</v>
      </c>
      <c r="B34" s="116">
        <v>5.9444444444444464</v>
      </c>
      <c r="C34" s="116">
        <v>5.5555555555553582E-2</v>
      </c>
    </row>
    <row r="35" spans="1:3" x14ac:dyDescent="0.25">
      <c r="A35" s="114">
        <v>5</v>
      </c>
      <c r="B35" s="116">
        <v>8.2777777777777786</v>
      </c>
      <c r="C35" s="116">
        <v>-0.27777777777777857</v>
      </c>
    </row>
    <row r="36" spans="1:3" x14ac:dyDescent="0.25">
      <c r="A36" s="114">
        <v>6</v>
      </c>
      <c r="B36" s="116">
        <v>1.4444444444444446</v>
      </c>
      <c r="C36" s="116">
        <v>0.55555555555555536</v>
      </c>
    </row>
    <row r="37" spans="1:3" x14ac:dyDescent="0.25">
      <c r="A37" s="114">
        <v>7</v>
      </c>
      <c r="B37" s="116">
        <v>9.4444444444444446</v>
      </c>
      <c r="C37" s="116">
        <v>-0.44444444444444464</v>
      </c>
    </row>
    <row r="38" spans="1:3" x14ac:dyDescent="0.25">
      <c r="A38" s="114">
        <v>8</v>
      </c>
      <c r="B38" s="116">
        <v>9.2777777777777786</v>
      </c>
      <c r="C38" s="116">
        <v>0.72222222222222143</v>
      </c>
    </row>
    <row r="39" spans="1:3" ht="15.75" thickBot="1" x14ac:dyDescent="0.3">
      <c r="A39" s="115">
        <v>9</v>
      </c>
      <c r="B39" s="117">
        <v>6.9444444444444464</v>
      </c>
      <c r="C39" s="117">
        <v>5.5555555555553582E-2</v>
      </c>
    </row>
    <row r="42" spans="1:3" x14ac:dyDescent="0.25">
      <c r="A42" s="137" t="s">
        <v>4</v>
      </c>
      <c r="B42" s="144">
        <f>CORREL('CA Daten gemischtes Modell'!F2:F10,'CA Ergebnisse gemischtes Modell'!B31:B39)</f>
        <v>0.99219930430305159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1"/>
  <sheetViews>
    <sheetView topLeftCell="A34" zoomScaleNormal="100" workbookViewId="0">
      <selection activeCell="C30" sqref="C30"/>
    </sheetView>
  </sheetViews>
  <sheetFormatPr baseColWidth="10" defaultColWidth="14" defaultRowHeight="15" x14ac:dyDescent="0.25"/>
  <cols>
    <col min="1" max="1" width="49.7109375" style="21" customWidth="1"/>
    <col min="2" max="2" width="11.42578125" style="21" bestFit="1" customWidth="1"/>
    <col min="3" max="3" width="10.140625" style="21" bestFit="1" customWidth="1"/>
    <col min="4" max="4" width="11.28515625" style="21" bestFit="1" customWidth="1"/>
    <col min="5" max="5" width="23.42578125" style="21" customWidth="1"/>
    <col min="6" max="7" width="15.85546875" style="21" bestFit="1" customWidth="1"/>
    <col min="8" max="8" width="11.5703125" style="21" bestFit="1" customWidth="1"/>
    <col min="9" max="9" width="11.28515625" style="21" bestFit="1" customWidth="1"/>
    <col min="10" max="10" width="13.42578125" style="21" customWidth="1"/>
    <col min="11" max="11" width="8.7109375" style="21" bestFit="1" customWidth="1"/>
    <col min="12" max="12" width="9.7109375" style="21" bestFit="1" customWidth="1"/>
    <col min="13" max="13" width="12.140625" style="21" bestFit="1" customWidth="1"/>
    <col min="14" max="14" width="23.28515625" style="21" bestFit="1" customWidth="1"/>
    <col min="15" max="15" width="25.5703125" style="21" bestFit="1" customWidth="1"/>
    <col min="16" max="16" width="32.42578125" style="21" bestFit="1" customWidth="1"/>
    <col min="17" max="17" width="31" style="21" bestFit="1" customWidth="1"/>
    <col min="18" max="18" width="11.140625" style="21" bestFit="1" customWidth="1"/>
    <col min="19" max="19" width="7.140625" style="21" bestFit="1" customWidth="1"/>
    <col min="20" max="20" width="13.42578125" style="21" bestFit="1" customWidth="1"/>
    <col min="21" max="21" width="8.7109375" style="21" customWidth="1"/>
    <col min="22" max="22" width="78.140625" style="21" bestFit="1" customWidth="1"/>
    <col min="23" max="23" width="19.140625" style="21" customWidth="1"/>
    <col min="24" max="24" width="18.7109375" style="21" customWidth="1"/>
    <col min="25" max="25" width="10.7109375" style="21" customWidth="1"/>
    <col min="26" max="26" width="10" style="21" customWidth="1"/>
    <col min="27" max="27" width="14.140625" style="21" customWidth="1"/>
    <col min="28" max="28" width="12.85546875" style="21" customWidth="1"/>
    <col min="29" max="37" width="14" style="21"/>
    <col min="38" max="38" width="14.85546875" style="21" customWidth="1"/>
    <col min="39" max="43" width="14" style="21"/>
    <col min="44" max="44" width="16" style="21" customWidth="1"/>
    <col min="45" max="16384" width="14" style="21"/>
  </cols>
  <sheetData>
    <row r="1" spans="1:44" x14ac:dyDescent="0.25">
      <c r="A1" s="91" t="s">
        <v>95</v>
      </c>
      <c r="B1" s="91"/>
      <c r="C1" s="91"/>
      <c r="D1" s="91"/>
      <c r="E1" s="91"/>
      <c r="F1" s="83"/>
      <c r="G1" s="46"/>
    </row>
    <row r="2" spans="1:44" x14ac:dyDescent="0.25">
      <c r="A2" s="91" t="s">
        <v>96</v>
      </c>
      <c r="B2" s="91"/>
      <c r="C2" s="91"/>
      <c r="D2" s="91"/>
      <c r="E2" s="91"/>
      <c r="F2" s="83"/>
      <c r="G2" s="46"/>
    </row>
    <row r="3" spans="1:44" x14ac:dyDescent="0.25">
      <c r="A3" s="91" t="s">
        <v>97</v>
      </c>
      <c r="B3" s="91"/>
      <c r="C3" s="91"/>
      <c r="D3" s="91"/>
      <c r="E3" s="91"/>
      <c r="F3" s="83"/>
      <c r="G3" s="46"/>
    </row>
    <row r="4" spans="1:44" s="46" customFormat="1" x14ac:dyDescent="0.25">
      <c r="A4" s="83"/>
      <c r="B4" s="83"/>
      <c r="C4" s="83"/>
      <c r="D4" s="83"/>
      <c r="E4" s="83"/>
      <c r="F4" s="83"/>
    </row>
    <row r="5" spans="1:44" s="46" customFormat="1" x14ac:dyDescent="0.25">
      <c r="A5" s="83"/>
      <c r="B5" s="83"/>
      <c r="C5" s="83"/>
      <c r="D5" s="83"/>
      <c r="E5" s="83"/>
      <c r="F5" s="83"/>
    </row>
    <row r="6" spans="1:44" s="46" customFormat="1" x14ac:dyDescent="0.25">
      <c r="A6" s="83"/>
      <c r="B6" s="83"/>
      <c r="C6" s="83"/>
      <c r="D6" s="83"/>
      <c r="E6" s="83"/>
      <c r="F6" s="83"/>
    </row>
    <row r="7" spans="1:44" x14ac:dyDescent="0.25">
      <c r="A7" s="78" t="s">
        <v>98</v>
      </c>
      <c r="B7" s="79"/>
      <c r="E7" s="78" t="s">
        <v>110</v>
      </c>
      <c r="F7" s="78"/>
      <c r="G7" s="78"/>
      <c r="H7" s="78"/>
      <c r="I7" s="78"/>
      <c r="J7" s="83"/>
    </row>
    <row r="8" spans="1:44" x14ac:dyDescent="0.25">
      <c r="A8" s="21" t="s">
        <v>99</v>
      </c>
      <c r="B8" s="22">
        <v>2</v>
      </c>
      <c r="E8" s="78"/>
      <c r="F8" s="78"/>
      <c r="G8" s="146"/>
      <c r="H8" s="146"/>
      <c r="I8" s="147" t="s">
        <v>6</v>
      </c>
      <c r="T8" s="20"/>
      <c r="V8" s="50"/>
      <c r="AC8" s="49"/>
    </row>
    <row r="9" spans="1:44" x14ac:dyDescent="0.25">
      <c r="A9" s="20" t="s">
        <v>100</v>
      </c>
      <c r="B9" s="49"/>
      <c r="E9" s="103" t="s">
        <v>106</v>
      </c>
      <c r="F9" s="103" t="s">
        <v>107</v>
      </c>
      <c r="G9" s="148" t="s">
        <v>111</v>
      </c>
      <c r="H9" s="148" t="s">
        <v>89</v>
      </c>
      <c r="I9" s="148" t="s">
        <v>112</v>
      </c>
      <c r="T9" s="20"/>
      <c r="U9" s="22"/>
      <c r="AE9" s="26"/>
      <c r="AF9" s="51"/>
    </row>
    <row r="10" spans="1:44" x14ac:dyDescent="0.25">
      <c r="A10" s="20" t="s">
        <v>47</v>
      </c>
      <c r="B10" s="22">
        <v>2</v>
      </c>
      <c r="D10" s="52"/>
      <c r="E10" s="152" t="s">
        <v>47</v>
      </c>
      <c r="F10" s="104" t="s">
        <v>14</v>
      </c>
      <c r="G10" s="87">
        <f>F24</f>
        <v>0</v>
      </c>
      <c r="H10" s="87">
        <f>MAX(G10:G11)-MIN(G10:G11)</f>
        <v>2.4054361966246365</v>
      </c>
      <c r="I10" s="106">
        <f>H10/$H$15</f>
        <v>0.66490737751292639</v>
      </c>
      <c r="T10" s="18"/>
      <c r="U10" s="19"/>
      <c r="AE10" s="26"/>
      <c r="AF10" s="51"/>
      <c r="AM10" s="158"/>
      <c r="AN10" s="158"/>
      <c r="AO10" s="158"/>
      <c r="AP10" s="158"/>
      <c r="AQ10" s="22"/>
    </row>
    <row r="11" spans="1:44" x14ac:dyDescent="0.25">
      <c r="A11" s="20" t="s">
        <v>49</v>
      </c>
      <c r="B11" s="22">
        <v>2</v>
      </c>
      <c r="E11" s="78"/>
      <c r="F11" s="104" t="s">
        <v>15</v>
      </c>
      <c r="G11" s="87">
        <f>G24</f>
        <v>2.4054361966246365</v>
      </c>
      <c r="H11" s="88"/>
      <c r="I11" s="106"/>
      <c r="T11" s="18"/>
      <c r="U11" s="19"/>
      <c r="AE11" s="26"/>
      <c r="AF11" s="54"/>
      <c r="AM11" s="158"/>
      <c r="AN11" s="158"/>
      <c r="AO11" s="158"/>
      <c r="AP11" s="158"/>
    </row>
    <row r="12" spans="1:44" x14ac:dyDescent="0.25">
      <c r="A12" s="21" t="s">
        <v>101</v>
      </c>
      <c r="B12" s="22">
        <v>2</v>
      </c>
      <c r="E12" s="78" t="s">
        <v>49</v>
      </c>
      <c r="F12" s="105" t="s">
        <v>108</v>
      </c>
      <c r="G12" s="87">
        <f>H24</f>
        <v>1.2122649719533474</v>
      </c>
      <c r="H12" s="99">
        <f>MAX(G12:G13)-MIN(G12:G13)</f>
        <v>1.2122649719533474</v>
      </c>
      <c r="I12" s="106">
        <f>H12/$H$15</f>
        <v>0.33509262248707361</v>
      </c>
      <c r="T12" s="18"/>
      <c r="U12" s="19"/>
      <c r="V12" s="20"/>
      <c r="AK12" s="22"/>
      <c r="AM12" s="22"/>
      <c r="AN12" s="22"/>
      <c r="AO12" s="22"/>
      <c r="AP12" s="22"/>
      <c r="AQ12" s="22"/>
      <c r="AR12" s="22"/>
    </row>
    <row r="13" spans="1:44" x14ac:dyDescent="0.25">
      <c r="A13" s="20" t="s">
        <v>102</v>
      </c>
      <c r="B13" s="22">
        <v>3</v>
      </c>
      <c r="C13" s="20"/>
      <c r="D13" s="23"/>
      <c r="E13" s="78"/>
      <c r="F13" s="105" t="s">
        <v>109</v>
      </c>
      <c r="G13" s="99">
        <f>I24</f>
        <v>0</v>
      </c>
      <c r="H13" s="100"/>
      <c r="U13" s="19"/>
      <c r="AC13" s="49"/>
      <c r="AE13" s="49"/>
      <c r="AH13" s="26"/>
      <c r="AK13" s="22"/>
      <c r="AM13" s="22"/>
      <c r="AN13" s="22"/>
      <c r="AO13" s="22"/>
      <c r="AP13" s="22"/>
      <c r="AQ13" s="22"/>
      <c r="AR13" s="22"/>
    </row>
    <row r="14" spans="1:44" x14ac:dyDescent="0.25">
      <c r="A14" s="21" t="s">
        <v>103</v>
      </c>
      <c r="B14" s="22">
        <v>6</v>
      </c>
      <c r="C14" s="20"/>
      <c r="D14" s="23"/>
      <c r="E14" s="103" t="s">
        <v>105</v>
      </c>
      <c r="F14" s="103" t="s">
        <v>105</v>
      </c>
      <c r="G14" s="101">
        <f>J24</f>
        <v>0</v>
      </c>
      <c r="H14" s="102"/>
      <c r="I14" s="24"/>
      <c r="T14" s="25"/>
      <c r="AD14" s="22"/>
      <c r="AE14" s="22"/>
      <c r="AF14" s="22"/>
      <c r="AK14" s="22"/>
      <c r="AR14" s="55"/>
    </row>
    <row r="15" spans="1:44" x14ac:dyDescent="0.25">
      <c r="A15" s="21" t="s">
        <v>104</v>
      </c>
      <c r="B15" s="22">
        <f>B12*B14</f>
        <v>12</v>
      </c>
      <c r="G15" s="149" t="s">
        <v>88</v>
      </c>
      <c r="H15" s="149">
        <f>SUM(H10:H14)</f>
        <v>3.6177011685779839</v>
      </c>
      <c r="I15" s="25"/>
      <c r="T15" s="25"/>
      <c r="U15" s="28"/>
      <c r="AC15" s="26"/>
      <c r="AD15" s="19"/>
      <c r="AE15" s="26"/>
      <c r="AF15" s="56"/>
      <c r="AG15" s="26"/>
      <c r="AH15" s="34"/>
      <c r="AK15" s="22"/>
      <c r="AR15" s="55"/>
    </row>
    <row r="16" spans="1:44" x14ac:dyDescent="0.25">
      <c r="G16" s="26"/>
      <c r="H16" s="27"/>
      <c r="I16" s="25"/>
      <c r="J16" s="25"/>
      <c r="K16" s="18"/>
      <c r="T16" s="18"/>
      <c r="U16" s="28"/>
      <c r="AD16" s="19"/>
      <c r="AE16" s="19"/>
      <c r="AF16" s="26"/>
      <c r="AH16" s="26"/>
      <c r="AK16" s="22"/>
      <c r="AR16" s="55"/>
    </row>
    <row r="17" spans="2:44" x14ac:dyDescent="0.25">
      <c r="G17" s="26"/>
      <c r="H17" s="27"/>
      <c r="I17" s="25"/>
      <c r="J17" s="29"/>
      <c r="K17" s="25"/>
      <c r="T17" s="25"/>
      <c r="U17" s="28"/>
      <c r="AF17" s="26"/>
      <c r="AK17" s="22"/>
      <c r="AR17" s="55"/>
    </row>
    <row r="18" spans="2:44" x14ac:dyDescent="0.25">
      <c r="D18" s="23"/>
      <c r="N18" s="26"/>
      <c r="O18" s="27"/>
      <c r="P18" s="27"/>
      <c r="Q18" s="25"/>
      <c r="R18" s="25"/>
      <c r="S18" s="18"/>
      <c r="T18" s="18"/>
      <c r="AK18" s="22"/>
      <c r="AR18" s="55"/>
    </row>
    <row r="19" spans="2:44" x14ac:dyDescent="0.25">
      <c r="N19" s="26"/>
      <c r="O19" s="27"/>
      <c r="P19" s="27"/>
      <c r="Q19" s="25"/>
      <c r="AL19" s="26"/>
      <c r="AM19" s="25"/>
      <c r="AN19" s="25"/>
      <c r="AO19" s="25"/>
      <c r="AP19" s="25"/>
      <c r="AQ19" s="25"/>
    </row>
    <row r="20" spans="2:44" x14ac:dyDescent="0.25">
      <c r="AC20" s="57"/>
      <c r="AD20" s="46"/>
      <c r="AE20" s="46"/>
      <c r="AF20" s="46"/>
      <c r="AG20" s="46"/>
      <c r="AH20" s="46"/>
    </row>
    <row r="21" spans="2:44" x14ac:dyDescent="0.25">
      <c r="D21" s="39"/>
      <c r="E21" s="39"/>
      <c r="F21" s="39"/>
      <c r="I21" s="39"/>
      <c r="J21" s="39"/>
      <c r="K21" s="39"/>
      <c r="L21" s="39"/>
      <c r="R21" s="58"/>
      <c r="S21" s="19"/>
      <c r="T21" s="59"/>
      <c r="U21" s="59"/>
      <c r="V21" s="59"/>
      <c r="AD21" s="46"/>
      <c r="AE21" s="53"/>
      <c r="AF21" s="60"/>
      <c r="AG21" s="46"/>
      <c r="AH21" s="46"/>
      <c r="AI21" s="46"/>
    </row>
    <row r="22" spans="2:44" x14ac:dyDescent="0.25">
      <c r="C22" s="49"/>
      <c r="D22" s="61"/>
      <c r="E22" s="79"/>
      <c r="F22" s="80" t="s">
        <v>7</v>
      </c>
      <c r="G22" s="80" t="s">
        <v>8</v>
      </c>
      <c r="H22" s="80" t="s">
        <v>9</v>
      </c>
      <c r="I22" s="80" t="s">
        <v>10</v>
      </c>
      <c r="J22" s="80" t="s">
        <v>11</v>
      </c>
      <c r="K22" s="62"/>
      <c r="L22" s="39"/>
      <c r="M22" s="39"/>
      <c r="Q22" s="63"/>
      <c r="R22" s="64"/>
      <c r="S22" s="33"/>
      <c r="T22" s="30"/>
      <c r="U22" s="30"/>
      <c r="AD22" s="46"/>
      <c r="AE22" s="53"/>
      <c r="AF22" s="46"/>
      <c r="AG22" s="46"/>
      <c r="AH22" s="46"/>
      <c r="AI22" s="46"/>
    </row>
    <row r="23" spans="2:44" x14ac:dyDescent="0.25">
      <c r="E23" s="50" t="s">
        <v>113</v>
      </c>
      <c r="F23" s="31">
        <f>W66</f>
        <v>-0.75</v>
      </c>
      <c r="G23" s="31">
        <f t="shared" ref="G23:J23" si="0">X66</f>
        <v>0</v>
      </c>
      <c r="H23" s="31">
        <f t="shared" si="0"/>
        <v>0.25000000000000006</v>
      </c>
      <c r="I23" s="31">
        <f t="shared" si="0"/>
        <v>0</v>
      </c>
      <c r="J23" s="31">
        <f t="shared" si="0"/>
        <v>0</v>
      </c>
      <c r="K23" s="32"/>
      <c r="Q23" s="33"/>
      <c r="R23" s="34"/>
      <c r="W23" s="35"/>
      <c r="AD23" s="46"/>
      <c r="AE23" s="53"/>
      <c r="AF23" s="46"/>
      <c r="AG23" s="46"/>
      <c r="AH23" s="46"/>
      <c r="AI23" s="46"/>
    </row>
    <row r="24" spans="2:44" x14ac:dyDescent="0.25">
      <c r="C24" s="39"/>
      <c r="E24" s="150" t="s">
        <v>114</v>
      </c>
      <c r="F24" s="151">
        <v>0</v>
      </c>
      <c r="G24" s="151">
        <v>2.4054361966246365</v>
      </c>
      <c r="H24" s="151">
        <v>1.2122649719533474</v>
      </c>
      <c r="I24" s="151">
        <v>0</v>
      </c>
      <c r="J24" s="151">
        <v>0</v>
      </c>
      <c r="K24" s="38"/>
      <c r="L24" s="39"/>
      <c r="M24" s="39"/>
      <c r="Q24" s="33"/>
      <c r="R24" s="40"/>
      <c r="S24" s="41"/>
      <c r="W24" s="65"/>
      <c r="X24" s="65"/>
      <c r="Y24" s="65"/>
      <c r="Z24" s="65"/>
      <c r="AA24" s="65"/>
      <c r="AD24" s="46"/>
      <c r="AE24" s="53"/>
      <c r="AF24" s="60"/>
      <c r="AG24" s="46"/>
      <c r="AH24" s="46"/>
      <c r="AI24" s="46"/>
      <c r="AJ24" s="46"/>
      <c r="AK24" s="46"/>
    </row>
    <row r="25" spans="2:44" x14ac:dyDescent="0.25">
      <c r="C25" s="66"/>
      <c r="D25" s="66"/>
      <c r="E25" s="66"/>
      <c r="F25" s="38"/>
      <c r="G25" s="37"/>
      <c r="H25" s="31"/>
      <c r="I25" s="37"/>
      <c r="J25" s="38"/>
      <c r="K25" s="38"/>
      <c r="L25" s="22"/>
      <c r="M25" s="39"/>
      <c r="Q25" s="33"/>
      <c r="R25" s="40"/>
      <c r="S25" s="41"/>
      <c r="W25" s="67"/>
      <c r="X25" s="67"/>
      <c r="Y25" s="67"/>
      <c r="Z25" s="67"/>
      <c r="AA25" s="67"/>
      <c r="AB25" s="51"/>
      <c r="AC25" s="46"/>
      <c r="AD25" s="46"/>
      <c r="AE25" s="53"/>
      <c r="AF25" s="46"/>
      <c r="AG25" s="46"/>
      <c r="AH25" s="46"/>
      <c r="AI25" s="46"/>
      <c r="AJ25" s="46"/>
      <c r="AK25" s="46"/>
    </row>
    <row r="26" spans="2:44" x14ac:dyDescent="0.25">
      <c r="B26" s="84"/>
      <c r="C26" s="84"/>
      <c r="D26" s="84"/>
      <c r="E26" s="84"/>
      <c r="F26" s="85" t="s">
        <v>7</v>
      </c>
      <c r="G26" s="85" t="s">
        <v>8</v>
      </c>
      <c r="H26" s="85" t="s">
        <v>9</v>
      </c>
      <c r="I26" s="85" t="s">
        <v>10</v>
      </c>
      <c r="J26" s="85" t="s">
        <v>11</v>
      </c>
      <c r="K26" s="37"/>
      <c r="L26" s="66"/>
      <c r="M26" s="42"/>
      <c r="N26" s="42"/>
      <c r="O26" s="42"/>
      <c r="P26" s="42"/>
      <c r="U26" s="42"/>
      <c r="V26" s="78" t="s">
        <v>134</v>
      </c>
      <c r="W26" s="92"/>
      <c r="X26" s="92"/>
      <c r="Y26" s="92"/>
      <c r="Z26" s="92"/>
      <c r="AA26" s="82"/>
      <c r="AB26" s="69"/>
      <c r="AC26" s="46"/>
      <c r="AD26" s="46"/>
      <c r="AE26" s="53"/>
      <c r="AF26" s="46"/>
      <c r="AG26" s="46"/>
      <c r="AH26" s="46"/>
      <c r="AI26" s="46"/>
      <c r="AJ26" s="42"/>
      <c r="AK26" s="42"/>
      <c r="AL26" s="46"/>
      <c r="AM26" s="53"/>
      <c r="AN26" s="46"/>
      <c r="AO26" s="46"/>
    </row>
    <row r="27" spans="2:44" s="46" customFormat="1" x14ac:dyDescent="0.25">
      <c r="B27" s="81" t="s">
        <v>135</v>
      </c>
      <c r="C27" s="81" t="s">
        <v>115</v>
      </c>
      <c r="D27" s="81" t="s">
        <v>116</v>
      </c>
      <c r="E27" s="81" t="s">
        <v>117</v>
      </c>
      <c r="F27" s="81" t="s">
        <v>118</v>
      </c>
      <c r="G27" s="81" t="s">
        <v>119</v>
      </c>
      <c r="H27" s="81" t="s">
        <v>108</v>
      </c>
      <c r="I27" s="81" t="s">
        <v>109</v>
      </c>
      <c r="J27" s="81" t="s">
        <v>105</v>
      </c>
      <c r="K27" s="147" t="s">
        <v>126</v>
      </c>
      <c r="L27" s="147" t="s">
        <v>120</v>
      </c>
      <c r="M27" s="147" t="s">
        <v>121</v>
      </c>
      <c r="N27" s="147" t="s">
        <v>122</v>
      </c>
      <c r="O27" s="147" t="s">
        <v>123</v>
      </c>
      <c r="P27" s="147" t="s">
        <v>124</v>
      </c>
      <c r="Q27" s="147" t="s">
        <v>125</v>
      </c>
      <c r="R27" s="147" t="s">
        <v>127</v>
      </c>
      <c r="S27" s="147" t="s">
        <v>128</v>
      </c>
      <c r="T27" s="44"/>
      <c r="U27" s="44"/>
      <c r="V27" s="147" t="s">
        <v>135</v>
      </c>
      <c r="W27" s="147" t="s">
        <v>118</v>
      </c>
      <c r="X27" s="147" t="s">
        <v>119</v>
      </c>
      <c r="Y27" s="147" t="s">
        <v>108</v>
      </c>
      <c r="Z27" s="147" t="s">
        <v>109</v>
      </c>
      <c r="AA27" s="147" t="s">
        <v>105</v>
      </c>
      <c r="AB27" s="42"/>
      <c r="AE27" s="53"/>
      <c r="AF27" s="60"/>
      <c r="AL27" s="42"/>
      <c r="AM27" s="42"/>
      <c r="AN27" s="42"/>
      <c r="AO27" s="42"/>
    </row>
    <row r="28" spans="2:44" s="42" customFormat="1" x14ac:dyDescent="0.25">
      <c r="B28" s="66">
        <v>1</v>
      </c>
      <c r="C28" s="66">
        <v>1</v>
      </c>
      <c r="D28" s="66">
        <v>1</v>
      </c>
      <c r="E28" s="66">
        <v>1</v>
      </c>
      <c r="F28" s="66">
        <v>1</v>
      </c>
      <c r="G28" s="66">
        <v>0</v>
      </c>
      <c r="H28" s="66">
        <v>1</v>
      </c>
      <c r="I28" s="66">
        <v>0</v>
      </c>
      <c r="J28" s="66">
        <v>0</v>
      </c>
      <c r="K28" s="66">
        <v>0</v>
      </c>
      <c r="L28" s="89">
        <f t="shared" ref="L28:L63" si="1">F$24*F28+G$24*G28+H$24*H28+I$24*I28+$J$24*J28</f>
        <v>1.2122649719533474</v>
      </c>
      <c r="M28" s="86">
        <f>EXP(L28)</f>
        <v>3.3610888095833951</v>
      </c>
      <c r="N28" s="90"/>
      <c r="O28" s="31">
        <f>M28/N30</f>
        <v>0.21762575059621714</v>
      </c>
      <c r="P28" s="31" t="str">
        <f>IF(K28=1,O28,"")</f>
        <v/>
      </c>
      <c r="Q28" s="68">
        <f t="shared" ref="Q28:Q63" si="2">LN(O28)*K28</f>
        <v>0</v>
      </c>
      <c r="R28" s="66">
        <f>IF(O28=MAX(O28:O30),1,0)</f>
        <v>0</v>
      </c>
      <c r="S28" s="45">
        <f t="shared" ref="S28:S63" si="3">IF(K28=1,(IF(R28=K28,1,0)),0)</f>
        <v>0</v>
      </c>
      <c r="U28" s="45"/>
      <c r="V28" s="66">
        <v>1</v>
      </c>
      <c r="W28" s="66">
        <f t="shared" ref="W28:W63" si="4">F28*$K28</f>
        <v>0</v>
      </c>
      <c r="X28" s="66">
        <f t="shared" ref="X28:X63" si="5">G28*$K28</f>
        <v>0</v>
      </c>
      <c r="Y28" s="66">
        <f t="shared" ref="Y28:Y63" si="6">H28*$K28</f>
        <v>0</v>
      </c>
      <c r="Z28" s="66">
        <f t="shared" ref="Z28:Z63" si="7">I28*$K28</f>
        <v>0</v>
      </c>
      <c r="AA28" s="66">
        <f t="shared" ref="AA28:AA63" si="8">J28*$K28</f>
        <v>0</v>
      </c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</row>
    <row r="29" spans="2:44" s="46" customFormat="1" x14ac:dyDescent="0.25">
      <c r="B29" s="66">
        <v>2</v>
      </c>
      <c r="C29" s="66">
        <v>1</v>
      </c>
      <c r="D29" s="66">
        <v>1</v>
      </c>
      <c r="E29" s="66">
        <v>2</v>
      </c>
      <c r="F29" s="66">
        <v>0</v>
      </c>
      <c r="G29" s="66">
        <v>1</v>
      </c>
      <c r="H29" s="66">
        <v>0</v>
      </c>
      <c r="I29" s="66">
        <v>1</v>
      </c>
      <c r="J29" s="66">
        <v>0</v>
      </c>
      <c r="K29" s="66">
        <v>1</v>
      </c>
      <c r="L29" s="89">
        <f t="shared" si="1"/>
        <v>2.4054361966246365</v>
      </c>
      <c r="M29" s="86">
        <f t="shared" ref="M29:M63" si="9">EXP(L29)</f>
        <v>11.083263710167634</v>
      </c>
      <c r="N29" s="90"/>
      <c r="O29" s="31">
        <f>M29/N30</f>
        <v>0.71762566258402793</v>
      </c>
      <c r="P29" s="31">
        <f t="shared" ref="P29:P63" si="10">IF(K29=1,O29,"")</f>
        <v>0.71762566258402793</v>
      </c>
      <c r="Q29" s="68">
        <f t="shared" si="2"/>
        <v>-0.33180720719355644</v>
      </c>
      <c r="R29" s="66">
        <f>IF(O29=MAX(O28:O30),1,0)</f>
        <v>1</v>
      </c>
      <c r="S29" s="45">
        <f t="shared" si="3"/>
        <v>1</v>
      </c>
      <c r="U29" s="45"/>
      <c r="V29" s="66">
        <v>2</v>
      </c>
      <c r="W29" s="66">
        <f t="shared" si="4"/>
        <v>0</v>
      </c>
      <c r="X29" s="66">
        <f t="shared" si="5"/>
        <v>1</v>
      </c>
      <c r="Y29" s="66">
        <f t="shared" si="6"/>
        <v>0</v>
      </c>
      <c r="Z29" s="66">
        <f t="shared" si="7"/>
        <v>1</v>
      </c>
      <c r="AA29" s="66">
        <f t="shared" si="8"/>
        <v>0</v>
      </c>
    </row>
    <row r="30" spans="2:44" s="46" customFormat="1" x14ac:dyDescent="0.25">
      <c r="B30" s="66">
        <v>3</v>
      </c>
      <c r="C30" s="66">
        <v>1</v>
      </c>
      <c r="D30" s="66">
        <v>1</v>
      </c>
      <c r="E30" s="66">
        <v>3</v>
      </c>
      <c r="F30" s="66">
        <v>0</v>
      </c>
      <c r="G30" s="66">
        <v>0</v>
      </c>
      <c r="H30" s="66">
        <v>0</v>
      </c>
      <c r="I30" s="66">
        <v>0</v>
      </c>
      <c r="J30" s="66">
        <v>1</v>
      </c>
      <c r="K30" s="66">
        <v>0</v>
      </c>
      <c r="L30" s="89">
        <f t="shared" si="1"/>
        <v>0</v>
      </c>
      <c r="M30" s="86">
        <f t="shared" si="9"/>
        <v>1</v>
      </c>
      <c r="N30" s="90">
        <f>SUM(M28:M30)</f>
        <v>15.444352519751028</v>
      </c>
      <c r="O30" s="31">
        <f>M30/N30</f>
        <v>6.4748586819754914E-2</v>
      </c>
      <c r="P30" s="31" t="str">
        <f t="shared" si="10"/>
        <v/>
      </c>
      <c r="Q30" s="68">
        <f t="shared" si="2"/>
        <v>0</v>
      </c>
      <c r="R30" s="66">
        <f>IF(O30=MAX(O28:O30),1,0)</f>
        <v>0</v>
      </c>
      <c r="S30" s="45">
        <f t="shared" si="3"/>
        <v>0</v>
      </c>
      <c r="U30" s="45"/>
      <c r="V30" s="66">
        <v>3</v>
      </c>
      <c r="W30" s="66">
        <f t="shared" si="4"/>
        <v>0</v>
      </c>
      <c r="X30" s="66">
        <f t="shared" si="5"/>
        <v>0</v>
      </c>
      <c r="Y30" s="66">
        <f t="shared" si="6"/>
        <v>0</v>
      </c>
      <c r="Z30" s="66">
        <f t="shared" si="7"/>
        <v>0</v>
      </c>
      <c r="AA30" s="66">
        <f t="shared" si="8"/>
        <v>0</v>
      </c>
    </row>
    <row r="31" spans="2:44" s="46" customFormat="1" x14ac:dyDescent="0.25">
      <c r="B31" s="66">
        <v>4</v>
      </c>
      <c r="C31" s="66">
        <v>1</v>
      </c>
      <c r="D31" s="66">
        <v>2</v>
      </c>
      <c r="E31" s="66">
        <v>1</v>
      </c>
      <c r="F31" s="66">
        <v>1</v>
      </c>
      <c r="G31" s="66">
        <v>0</v>
      </c>
      <c r="H31" s="66">
        <v>0</v>
      </c>
      <c r="I31" s="66">
        <v>1</v>
      </c>
      <c r="J31" s="66">
        <v>0</v>
      </c>
      <c r="K31" s="66">
        <v>0</v>
      </c>
      <c r="L31" s="89">
        <f t="shared" si="1"/>
        <v>0</v>
      </c>
      <c r="M31" s="86">
        <f t="shared" si="9"/>
        <v>1</v>
      </c>
      <c r="N31" s="90"/>
      <c r="O31" s="31">
        <f>M31/N33</f>
        <v>2.5476516827944946E-2</v>
      </c>
      <c r="P31" s="31" t="str">
        <f t="shared" si="10"/>
        <v/>
      </c>
      <c r="Q31" s="68">
        <f t="shared" si="2"/>
        <v>0</v>
      </c>
      <c r="R31" s="66">
        <f>IF(O31=MAX(O31:O33),1,0)</f>
        <v>0</v>
      </c>
      <c r="S31" s="45">
        <f t="shared" si="3"/>
        <v>0</v>
      </c>
      <c r="U31" s="45"/>
      <c r="V31" s="66">
        <v>4</v>
      </c>
      <c r="W31" s="66">
        <f t="shared" si="4"/>
        <v>0</v>
      </c>
      <c r="X31" s="66">
        <f t="shared" si="5"/>
        <v>0</v>
      </c>
      <c r="Y31" s="66">
        <f t="shared" si="6"/>
        <v>0</v>
      </c>
      <c r="Z31" s="66">
        <f t="shared" si="7"/>
        <v>0</v>
      </c>
      <c r="AA31" s="66">
        <f t="shared" si="8"/>
        <v>0</v>
      </c>
    </row>
    <row r="32" spans="2:44" s="46" customFormat="1" x14ac:dyDescent="0.25">
      <c r="B32" s="66">
        <v>5</v>
      </c>
      <c r="C32" s="66">
        <v>1</v>
      </c>
      <c r="D32" s="66">
        <v>2</v>
      </c>
      <c r="E32" s="66">
        <v>2</v>
      </c>
      <c r="F32" s="66">
        <v>0</v>
      </c>
      <c r="G32" s="66">
        <v>1</v>
      </c>
      <c r="H32" s="66">
        <v>1</v>
      </c>
      <c r="I32" s="66">
        <v>0</v>
      </c>
      <c r="J32" s="66">
        <v>0</v>
      </c>
      <c r="K32" s="66">
        <v>1</v>
      </c>
      <c r="L32" s="89">
        <f t="shared" si="1"/>
        <v>3.6177011685779839</v>
      </c>
      <c r="M32" s="86">
        <f t="shared" si="9"/>
        <v>37.251833629906173</v>
      </c>
      <c r="N32" s="90"/>
      <c r="O32" s="31">
        <f>M32/N33</f>
        <v>0.94904696634411012</v>
      </c>
      <c r="P32" s="31">
        <f t="shared" si="10"/>
        <v>0.94904696634411012</v>
      </c>
      <c r="Q32" s="68">
        <f t="shared" si="2"/>
        <v>-5.2296991244750797E-2</v>
      </c>
      <c r="R32" s="66">
        <f>IF(O32=MAX(O31:O33),1,0)</f>
        <v>1</v>
      </c>
      <c r="S32" s="45">
        <f t="shared" si="3"/>
        <v>1</v>
      </c>
      <c r="U32" s="45"/>
      <c r="V32" s="66">
        <v>5</v>
      </c>
      <c r="W32" s="66">
        <f t="shared" si="4"/>
        <v>0</v>
      </c>
      <c r="X32" s="66">
        <f t="shared" si="5"/>
        <v>1</v>
      </c>
      <c r="Y32" s="66">
        <f t="shared" si="6"/>
        <v>1</v>
      </c>
      <c r="Z32" s="66">
        <f t="shared" si="7"/>
        <v>0</v>
      </c>
      <c r="AA32" s="66">
        <f t="shared" si="8"/>
        <v>0</v>
      </c>
    </row>
    <row r="33" spans="2:27" s="46" customFormat="1" x14ac:dyDescent="0.25">
      <c r="B33" s="66">
        <v>6</v>
      </c>
      <c r="C33" s="66">
        <v>1</v>
      </c>
      <c r="D33" s="66">
        <v>2</v>
      </c>
      <c r="E33" s="66">
        <v>3</v>
      </c>
      <c r="F33" s="66">
        <v>0</v>
      </c>
      <c r="G33" s="66">
        <v>0</v>
      </c>
      <c r="H33" s="66">
        <v>0</v>
      </c>
      <c r="I33" s="66">
        <v>0</v>
      </c>
      <c r="J33" s="66">
        <v>1</v>
      </c>
      <c r="K33" s="66">
        <v>0</v>
      </c>
      <c r="L33" s="89">
        <f t="shared" si="1"/>
        <v>0</v>
      </c>
      <c r="M33" s="86">
        <f t="shared" si="9"/>
        <v>1</v>
      </c>
      <c r="N33" s="90">
        <f>SUM(M31:M33)</f>
        <v>39.251833629906173</v>
      </c>
      <c r="O33" s="31">
        <f>M33/N33</f>
        <v>2.5476516827944946E-2</v>
      </c>
      <c r="P33" s="31" t="str">
        <f t="shared" si="10"/>
        <v/>
      </c>
      <c r="Q33" s="68">
        <f t="shared" si="2"/>
        <v>0</v>
      </c>
      <c r="R33" s="66">
        <f>IF(O33=MAX(O31:O33),1,0)</f>
        <v>0</v>
      </c>
      <c r="S33" s="45">
        <f t="shared" si="3"/>
        <v>0</v>
      </c>
      <c r="U33" s="45"/>
      <c r="V33" s="66">
        <v>6</v>
      </c>
      <c r="W33" s="66">
        <f t="shared" si="4"/>
        <v>0</v>
      </c>
      <c r="X33" s="66">
        <f t="shared" si="5"/>
        <v>0</v>
      </c>
      <c r="Y33" s="66">
        <f t="shared" si="6"/>
        <v>0</v>
      </c>
      <c r="Z33" s="66">
        <f t="shared" si="7"/>
        <v>0</v>
      </c>
      <c r="AA33" s="66">
        <f t="shared" si="8"/>
        <v>0</v>
      </c>
    </row>
    <row r="34" spans="2:27" s="46" customFormat="1" x14ac:dyDescent="0.25">
      <c r="B34" s="66">
        <v>7</v>
      </c>
      <c r="C34" s="66">
        <v>2</v>
      </c>
      <c r="D34" s="66">
        <v>3</v>
      </c>
      <c r="E34" s="66">
        <v>1</v>
      </c>
      <c r="F34" s="66">
        <v>1</v>
      </c>
      <c r="G34" s="66">
        <v>0</v>
      </c>
      <c r="H34" s="66">
        <v>0</v>
      </c>
      <c r="I34" s="66">
        <v>1</v>
      </c>
      <c r="J34" s="66">
        <v>0</v>
      </c>
      <c r="K34" s="66">
        <v>0</v>
      </c>
      <c r="L34" s="89">
        <f t="shared" si="1"/>
        <v>0</v>
      </c>
      <c r="M34" s="86">
        <f t="shared" si="9"/>
        <v>1</v>
      </c>
      <c r="N34" s="90"/>
      <c r="O34" s="31">
        <f>M34/N36</f>
        <v>2.5476516827944946E-2</v>
      </c>
      <c r="P34" s="31" t="str">
        <f t="shared" si="10"/>
        <v/>
      </c>
      <c r="Q34" s="68">
        <f t="shared" si="2"/>
        <v>0</v>
      </c>
      <c r="R34" s="66">
        <f>IF(O34=MAX(O34:O36),1,0)</f>
        <v>0</v>
      </c>
      <c r="S34" s="45">
        <f t="shared" si="3"/>
        <v>0</v>
      </c>
      <c r="U34" s="45"/>
      <c r="V34" s="66">
        <v>7</v>
      </c>
      <c r="W34" s="66">
        <f t="shared" si="4"/>
        <v>0</v>
      </c>
      <c r="X34" s="66">
        <f t="shared" si="5"/>
        <v>0</v>
      </c>
      <c r="Y34" s="66">
        <f t="shared" si="6"/>
        <v>0</v>
      </c>
      <c r="Z34" s="66">
        <f t="shared" si="7"/>
        <v>0</v>
      </c>
      <c r="AA34" s="66">
        <f t="shared" si="8"/>
        <v>0</v>
      </c>
    </row>
    <row r="35" spans="2:27" s="46" customFormat="1" x14ac:dyDescent="0.25">
      <c r="B35" s="66">
        <v>8</v>
      </c>
      <c r="C35" s="66">
        <v>2</v>
      </c>
      <c r="D35" s="66">
        <v>3</v>
      </c>
      <c r="E35" s="66">
        <v>2</v>
      </c>
      <c r="F35" s="66">
        <v>0</v>
      </c>
      <c r="G35" s="66">
        <v>1</v>
      </c>
      <c r="H35" s="66">
        <v>1</v>
      </c>
      <c r="I35" s="66">
        <v>0</v>
      </c>
      <c r="J35" s="66">
        <v>0</v>
      </c>
      <c r="K35" s="66">
        <v>1</v>
      </c>
      <c r="L35" s="89">
        <f t="shared" si="1"/>
        <v>3.6177011685779839</v>
      </c>
      <c r="M35" s="86">
        <f t="shared" si="9"/>
        <v>37.251833629906173</v>
      </c>
      <c r="N35" s="90"/>
      <c r="O35" s="31">
        <f>M35/N36</f>
        <v>0.94904696634411012</v>
      </c>
      <c r="P35" s="31">
        <f t="shared" si="10"/>
        <v>0.94904696634411012</v>
      </c>
      <c r="Q35" s="68">
        <f t="shared" si="2"/>
        <v>-5.2296991244750797E-2</v>
      </c>
      <c r="R35" s="66">
        <f>IF(O35=MAX(O34:O36),1,0)</f>
        <v>1</v>
      </c>
      <c r="S35" s="45">
        <f t="shared" si="3"/>
        <v>1</v>
      </c>
      <c r="U35" s="45"/>
      <c r="V35" s="66">
        <v>8</v>
      </c>
      <c r="W35" s="66">
        <f t="shared" si="4"/>
        <v>0</v>
      </c>
      <c r="X35" s="66">
        <f t="shared" si="5"/>
        <v>1</v>
      </c>
      <c r="Y35" s="66">
        <f t="shared" si="6"/>
        <v>1</v>
      </c>
      <c r="Z35" s="66">
        <f t="shared" si="7"/>
        <v>0</v>
      </c>
      <c r="AA35" s="66">
        <f t="shared" si="8"/>
        <v>0</v>
      </c>
    </row>
    <row r="36" spans="2:27" s="46" customFormat="1" x14ac:dyDescent="0.25">
      <c r="B36" s="66">
        <v>9</v>
      </c>
      <c r="C36" s="66">
        <v>2</v>
      </c>
      <c r="D36" s="66">
        <v>3</v>
      </c>
      <c r="E36" s="66">
        <v>3</v>
      </c>
      <c r="F36" s="66">
        <v>0</v>
      </c>
      <c r="G36" s="66">
        <v>0</v>
      </c>
      <c r="H36" s="66">
        <v>0</v>
      </c>
      <c r="I36" s="66">
        <v>0</v>
      </c>
      <c r="J36" s="66">
        <v>1</v>
      </c>
      <c r="K36" s="66">
        <v>0</v>
      </c>
      <c r="L36" s="89">
        <f t="shared" si="1"/>
        <v>0</v>
      </c>
      <c r="M36" s="86">
        <f t="shared" si="9"/>
        <v>1</v>
      </c>
      <c r="N36" s="90">
        <f t="shared" ref="N36" si="11">SUM(M34:M36)</f>
        <v>39.251833629906173</v>
      </c>
      <c r="O36" s="31">
        <f>M36/N36</f>
        <v>2.5476516827944946E-2</v>
      </c>
      <c r="P36" s="31" t="str">
        <f t="shared" si="10"/>
        <v/>
      </c>
      <c r="Q36" s="68">
        <f t="shared" si="2"/>
        <v>0</v>
      </c>
      <c r="R36" s="66">
        <f>IF(O36=MAX(O34:O36),1,0)</f>
        <v>0</v>
      </c>
      <c r="S36" s="45">
        <f t="shared" si="3"/>
        <v>0</v>
      </c>
      <c r="U36" s="45"/>
      <c r="V36" s="66">
        <v>9</v>
      </c>
      <c r="W36" s="66">
        <f t="shared" si="4"/>
        <v>0</v>
      </c>
      <c r="X36" s="66">
        <f t="shared" si="5"/>
        <v>0</v>
      </c>
      <c r="Y36" s="66">
        <f t="shared" si="6"/>
        <v>0</v>
      </c>
      <c r="Z36" s="66">
        <f t="shared" si="7"/>
        <v>0</v>
      </c>
      <c r="AA36" s="66">
        <f t="shared" si="8"/>
        <v>0</v>
      </c>
    </row>
    <row r="37" spans="2:27" s="46" customFormat="1" x14ac:dyDescent="0.25">
      <c r="B37" s="66">
        <v>10</v>
      </c>
      <c r="C37" s="66">
        <v>2</v>
      </c>
      <c r="D37" s="66">
        <v>4</v>
      </c>
      <c r="E37" s="66">
        <v>1</v>
      </c>
      <c r="F37" s="66">
        <v>1</v>
      </c>
      <c r="G37" s="66">
        <v>0</v>
      </c>
      <c r="H37" s="66">
        <v>1</v>
      </c>
      <c r="I37" s="66">
        <v>0</v>
      </c>
      <c r="J37" s="66">
        <v>0</v>
      </c>
      <c r="K37" s="66">
        <v>1</v>
      </c>
      <c r="L37" s="89">
        <f t="shared" si="1"/>
        <v>1.2122649719533474</v>
      </c>
      <c r="M37" s="86">
        <f t="shared" si="9"/>
        <v>3.3610888095833951</v>
      </c>
      <c r="N37" s="90"/>
      <c r="O37" s="31">
        <f>M37/N39</f>
        <v>0.21762575059621714</v>
      </c>
      <c r="P37" s="31">
        <f t="shared" si="10"/>
        <v>0.21762575059621714</v>
      </c>
      <c r="Q37" s="68">
        <f t="shared" si="2"/>
        <v>-1.5249784318648456</v>
      </c>
      <c r="R37" s="66">
        <f>IF(O37=MAX(O37:O39),1,0)</f>
        <v>0</v>
      </c>
      <c r="S37" s="45">
        <f t="shared" si="3"/>
        <v>0</v>
      </c>
      <c r="U37" s="45"/>
      <c r="V37" s="66">
        <v>10</v>
      </c>
      <c r="W37" s="66">
        <f t="shared" si="4"/>
        <v>1</v>
      </c>
      <c r="X37" s="66">
        <f t="shared" si="5"/>
        <v>0</v>
      </c>
      <c r="Y37" s="66">
        <f t="shared" si="6"/>
        <v>1</v>
      </c>
      <c r="Z37" s="66">
        <f t="shared" si="7"/>
        <v>0</v>
      </c>
      <c r="AA37" s="66">
        <f t="shared" si="8"/>
        <v>0</v>
      </c>
    </row>
    <row r="38" spans="2:27" s="46" customFormat="1" x14ac:dyDescent="0.25">
      <c r="B38" s="66">
        <v>11</v>
      </c>
      <c r="C38" s="66">
        <v>2</v>
      </c>
      <c r="D38" s="66">
        <v>4</v>
      </c>
      <c r="E38" s="66">
        <v>2</v>
      </c>
      <c r="F38" s="66">
        <v>0</v>
      </c>
      <c r="G38" s="66">
        <v>1</v>
      </c>
      <c r="H38" s="66">
        <v>0</v>
      </c>
      <c r="I38" s="66">
        <v>1</v>
      </c>
      <c r="J38" s="66">
        <v>0</v>
      </c>
      <c r="K38" s="66">
        <v>0</v>
      </c>
      <c r="L38" s="89">
        <f t="shared" si="1"/>
        <v>2.4054361966246365</v>
      </c>
      <c r="M38" s="86">
        <f t="shared" si="9"/>
        <v>11.083263710167634</v>
      </c>
      <c r="N38" s="90"/>
      <c r="O38" s="31">
        <f>M38/N39</f>
        <v>0.71762566258402793</v>
      </c>
      <c r="P38" s="31" t="str">
        <f t="shared" si="10"/>
        <v/>
      </c>
      <c r="Q38" s="68">
        <f t="shared" si="2"/>
        <v>0</v>
      </c>
      <c r="R38" s="66">
        <f>IF(O38=MAX(O37:O39),1,0)</f>
        <v>1</v>
      </c>
      <c r="S38" s="45">
        <f t="shared" si="3"/>
        <v>0</v>
      </c>
      <c r="U38" s="45"/>
      <c r="V38" s="66">
        <v>11</v>
      </c>
      <c r="W38" s="66">
        <f t="shared" si="4"/>
        <v>0</v>
      </c>
      <c r="X38" s="66">
        <f t="shared" si="5"/>
        <v>0</v>
      </c>
      <c r="Y38" s="66">
        <f t="shared" si="6"/>
        <v>0</v>
      </c>
      <c r="Z38" s="66">
        <f t="shared" si="7"/>
        <v>0</v>
      </c>
      <c r="AA38" s="66">
        <f t="shared" si="8"/>
        <v>0</v>
      </c>
    </row>
    <row r="39" spans="2:27" s="46" customFormat="1" x14ac:dyDescent="0.25">
      <c r="B39" s="66">
        <v>12</v>
      </c>
      <c r="C39" s="66">
        <v>2</v>
      </c>
      <c r="D39" s="66">
        <v>4</v>
      </c>
      <c r="E39" s="66">
        <v>3</v>
      </c>
      <c r="F39" s="66">
        <v>0</v>
      </c>
      <c r="G39" s="66">
        <v>0</v>
      </c>
      <c r="H39" s="66">
        <v>0</v>
      </c>
      <c r="I39" s="66">
        <v>0</v>
      </c>
      <c r="J39" s="66">
        <v>1</v>
      </c>
      <c r="K39" s="66">
        <v>0</v>
      </c>
      <c r="L39" s="89">
        <f t="shared" si="1"/>
        <v>0</v>
      </c>
      <c r="M39" s="86">
        <f t="shared" si="9"/>
        <v>1</v>
      </c>
      <c r="N39" s="90">
        <f t="shared" ref="N39" si="12">SUM(M37:M39)</f>
        <v>15.444352519751028</v>
      </c>
      <c r="O39" s="31">
        <f>M39/N39</f>
        <v>6.4748586819754914E-2</v>
      </c>
      <c r="P39" s="31" t="str">
        <f t="shared" si="10"/>
        <v/>
      </c>
      <c r="Q39" s="68">
        <f t="shared" si="2"/>
        <v>0</v>
      </c>
      <c r="R39" s="66">
        <f>IF(O39=MAX(O37:O39),1,0)</f>
        <v>0</v>
      </c>
      <c r="S39" s="45">
        <f t="shared" si="3"/>
        <v>0</v>
      </c>
      <c r="U39" s="45"/>
      <c r="V39" s="66">
        <v>12</v>
      </c>
      <c r="W39" s="66">
        <f t="shared" si="4"/>
        <v>0</v>
      </c>
      <c r="X39" s="66">
        <f t="shared" si="5"/>
        <v>0</v>
      </c>
      <c r="Y39" s="66">
        <f t="shared" si="6"/>
        <v>0</v>
      </c>
      <c r="Z39" s="66">
        <f t="shared" si="7"/>
        <v>0</v>
      </c>
      <c r="AA39" s="66">
        <f t="shared" si="8"/>
        <v>0</v>
      </c>
    </row>
    <row r="40" spans="2:27" s="46" customFormat="1" x14ac:dyDescent="0.25">
      <c r="B40" s="66">
        <v>13</v>
      </c>
      <c r="C40" s="66">
        <v>3</v>
      </c>
      <c r="D40" s="66">
        <v>5</v>
      </c>
      <c r="E40" s="66">
        <v>1</v>
      </c>
      <c r="F40" s="66">
        <v>1</v>
      </c>
      <c r="G40" s="66">
        <v>0</v>
      </c>
      <c r="H40" s="66">
        <v>1</v>
      </c>
      <c r="I40" s="66">
        <v>0</v>
      </c>
      <c r="J40" s="66">
        <v>0</v>
      </c>
      <c r="K40" s="66">
        <v>0</v>
      </c>
      <c r="L40" s="89">
        <f t="shared" si="1"/>
        <v>1.2122649719533474</v>
      </c>
      <c r="M40" s="86">
        <f t="shared" si="9"/>
        <v>3.3610888095833951</v>
      </c>
      <c r="N40" s="90"/>
      <c r="O40" s="31">
        <f>M40/N42</f>
        <v>0.21762575059621714</v>
      </c>
      <c r="P40" s="31" t="str">
        <f t="shared" si="10"/>
        <v/>
      </c>
      <c r="Q40" s="68">
        <f t="shared" si="2"/>
        <v>0</v>
      </c>
      <c r="R40" s="66">
        <f>IF(O40=MAX(O40:O42),1,0)</f>
        <v>0</v>
      </c>
      <c r="S40" s="45">
        <f t="shared" si="3"/>
        <v>0</v>
      </c>
      <c r="U40" s="45"/>
      <c r="V40" s="66">
        <v>13</v>
      </c>
      <c r="W40" s="66">
        <f t="shared" si="4"/>
        <v>0</v>
      </c>
      <c r="X40" s="66">
        <f t="shared" si="5"/>
        <v>0</v>
      </c>
      <c r="Y40" s="66">
        <f t="shared" si="6"/>
        <v>0</v>
      </c>
      <c r="Z40" s="66">
        <f t="shared" si="7"/>
        <v>0</v>
      </c>
      <c r="AA40" s="66">
        <f t="shared" si="8"/>
        <v>0</v>
      </c>
    </row>
    <row r="41" spans="2:27" s="46" customFormat="1" x14ac:dyDescent="0.25">
      <c r="B41" s="66">
        <v>14</v>
      </c>
      <c r="C41" s="66">
        <v>3</v>
      </c>
      <c r="D41" s="66">
        <v>5</v>
      </c>
      <c r="E41" s="66">
        <v>2</v>
      </c>
      <c r="F41" s="66">
        <v>0</v>
      </c>
      <c r="G41" s="66">
        <v>1</v>
      </c>
      <c r="H41" s="66">
        <v>0</v>
      </c>
      <c r="I41" s="66">
        <v>1</v>
      </c>
      <c r="J41" s="66">
        <v>0</v>
      </c>
      <c r="K41" s="66">
        <v>1</v>
      </c>
      <c r="L41" s="89">
        <f t="shared" si="1"/>
        <v>2.4054361966246365</v>
      </c>
      <c r="M41" s="86">
        <f t="shared" si="9"/>
        <v>11.083263710167634</v>
      </c>
      <c r="N41" s="90"/>
      <c r="O41" s="31">
        <f>M41/N42</f>
        <v>0.71762566258402793</v>
      </c>
      <c r="P41" s="31">
        <f t="shared" si="10"/>
        <v>0.71762566258402793</v>
      </c>
      <c r="Q41" s="68">
        <f t="shared" si="2"/>
        <v>-0.33180720719355644</v>
      </c>
      <c r="R41" s="66">
        <f>IF(O41=MAX(O40:O42),1,0)</f>
        <v>1</v>
      </c>
      <c r="S41" s="45">
        <f t="shared" si="3"/>
        <v>1</v>
      </c>
      <c r="U41" s="45"/>
      <c r="V41" s="66">
        <v>14</v>
      </c>
      <c r="W41" s="66">
        <f t="shared" si="4"/>
        <v>0</v>
      </c>
      <c r="X41" s="66">
        <f t="shared" si="5"/>
        <v>1</v>
      </c>
      <c r="Y41" s="66">
        <f t="shared" si="6"/>
        <v>0</v>
      </c>
      <c r="Z41" s="66">
        <f t="shared" si="7"/>
        <v>1</v>
      </c>
      <c r="AA41" s="66">
        <f t="shared" si="8"/>
        <v>0</v>
      </c>
    </row>
    <row r="42" spans="2:27" s="46" customFormat="1" x14ac:dyDescent="0.25">
      <c r="B42" s="66">
        <v>15</v>
      </c>
      <c r="C42" s="66">
        <v>3</v>
      </c>
      <c r="D42" s="66">
        <v>5</v>
      </c>
      <c r="E42" s="66">
        <v>3</v>
      </c>
      <c r="F42" s="66">
        <v>0</v>
      </c>
      <c r="G42" s="66">
        <v>0</v>
      </c>
      <c r="H42" s="66">
        <v>0</v>
      </c>
      <c r="I42" s="66">
        <v>0</v>
      </c>
      <c r="J42" s="66">
        <v>1</v>
      </c>
      <c r="K42" s="66">
        <v>0</v>
      </c>
      <c r="L42" s="89">
        <f t="shared" si="1"/>
        <v>0</v>
      </c>
      <c r="M42" s="86">
        <f t="shared" si="9"/>
        <v>1</v>
      </c>
      <c r="N42" s="90">
        <f t="shared" ref="N42" si="13">SUM(M40:M42)</f>
        <v>15.444352519751028</v>
      </c>
      <c r="O42" s="31">
        <f>M42/N42</f>
        <v>6.4748586819754914E-2</v>
      </c>
      <c r="P42" s="31" t="str">
        <f t="shared" si="10"/>
        <v/>
      </c>
      <c r="Q42" s="68">
        <f t="shared" si="2"/>
        <v>0</v>
      </c>
      <c r="R42" s="66">
        <f>IF(O42=MAX(O40:O42),1,0)</f>
        <v>0</v>
      </c>
      <c r="S42" s="45">
        <f t="shared" si="3"/>
        <v>0</v>
      </c>
      <c r="U42" s="45"/>
      <c r="V42" s="66">
        <v>15</v>
      </c>
      <c r="W42" s="66">
        <f t="shared" si="4"/>
        <v>0</v>
      </c>
      <c r="X42" s="66">
        <f t="shared" si="5"/>
        <v>0</v>
      </c>
      <c r="Y42" s="66">
        <f t="shared" si="6"/>
        <v>0</v>
      </c>
      <c r="Z42" s="66">
        <f t="shared" si="7"/>
        <v>0</v>
      </c>
      <c r="AA42" s="66">
        <f t="shared" si="8"/>
        <v>0</v>
      </c>
    </row>
    <row r="43" spans="2:27" s="46" customFormat="1" x14ac:dyDescent="0.25">
      <c r="B43" s="66">
        <v>16</v>
      </c>
      <c r="C43" s="66">
        <v>3</v>
      </c>
      <c r="D43" s="66">
        <v>6</v>
      </c>
      <c r="E43" s="66">
        <v>1</v>
      </c>
      <c r="F43" s="66">
        <v>1</v>
      </c>
      <c r="G43" s="66">
        <v>0</v>
      </c>
      <c r="H43" s="66">
        <v>0</v>
      </c>
      <c r="I43" s="66">
        <v>1</v>
      </c>
      <c r="J43" s="66">
        <v>0</v>
      </c>
      <c r="K43" s="66">
        <v>0</v>
      </c>
      <c r="L43" s="89">
        <f t="shared" si="1"/>
        <v>0</v>
      </c>
      <c r="M43" s="86">
        <f t="shared" si="9"/>
        <v>1</v>
      </c>
      <c r="N43" s="90"/>
      <c r="O43" s="31">
        <f>M43/N45</f>
        <v>2.5476516827944946E-2</v>
      </c>
      <c r="P43" s="31" t="str">
        <f t="shared" si="10"/>
        <v/>
      </c>
      <c r="Q43" s="68">
        <f t="shared" si="2"/>
        <v>0</v>
      </c>
      <c r="R43" s="66">
        <f>IF(O43=MAX(O43:O45),1,0)</f>
        <v>0</v>
      </c>
      <c r="S43" s="45">
        <f t="shared" si="3"/>
        <v>0</v>
      </c>
      <c r="U43" s="45"/>
      <c r="V43" s="66">
        <v>16</v>
      </c>
      <c r="W43" s="66">
        <f t="shared" si="4"/>
        <v>0</v>
      </c>
      <c r="X43" s="66">
        <f t="shared" si="5"/>
        <v>0</v>
      </c>
      <c r="Y43" s="66">
        <f t="shared" si="6"/>
        <v>0</v>
      </c>
      <c r="Z43" s="66">
        <f t="shared" si="7"/>
        <v>0</v>
      </c>
      <c r="AA43" s="66">
        <f t="shared" si="8"/>
        <v>0</v>
      </c>
    </row>
    <row r="44" spans="2:27" s="46" customFormat="1" x14ac:dyDescent="0.25">
      <c r="B44" s="66">
        <v>17</v>
      </c>
      <c r="C44" s="66">
        <v>3</v>
      </c>
      <c r="D44" s="66">
        <v>6</v>
      </c>
      <c r="E44" s="66">
        <v>2</v>
      </c>
      <c r="F44" s="66">
        <v>0</v>
      </c>
      <c r="G44" s="66">
        <v>1</v>
      </c>
      <c r="H44" s="66">
        <v>1</v>
      </c>
      <c r="I44" s="66">
        <v>0</v>
      </c>
      <c r="J44" s="66">
        <v>0</v>
      </c>
      <c r="K44" s="66">
        <v>1</v>
      </c>
      <c r="L44" s="89">
        <f t="shared" si="1"/>
        <v>3.6177011685779839</v>
      </c>
      <c r="M44" s="86">
        <f t="shared" si="9"/>
        <v>37.251833629906173</v>
      </c>
      <c r="N44" s="90"/>
      <c r="O44" s="31">
        <f>M44/N45</f>
        <v>0.94904696634411012</v>
      </c>
      <c r="P44" s="31">
        <f t="shared" si="10"/>
        <v>0.94904696634411012</v>
      </c>
      <c r="Q44" s="68">
        <f t="shared" si="2"/>
        <v>-5.2296991244750797E-2</v>
      </c>
      <c r="R44" s="66">
        <f>IF(O44=MAX(O43:O45),1,0)</f>
        <v>1</v>
      </c>
      <c r="S44" s="45">
        <f t="shared" si="3"/>
        <v>1</v>
      </c>
      <c r="U44" s="45"/>
      <c r="V44" s="66">
        <v>17</v>
      </c>
      <c r="W44" s="66">
        <f t="shared" si="4"/>
        <v>0</v>
      </c>
      <c r="X44" s="66">
        <f t="shared" si="5"/>
        <v>1</v>
      </c>
      <c r="Y44" s="66">
        <f t="shared" si="6"/>
        <v>1</v>
      </c>
      <c r="Z44" s="66">
        <f t="shared" si="7"/>
        <v>0</v>
      </c>
      <c r="AA44" s="66">
        <f t="shared" si="8"/>
        <v>0</v>
      </c>
    </row>
    <row r="45" spans="2:27" s="46" customFormat="1" x14ac:dyDescent="0.25">
      <c r="B45" s="66">
        <v>18</v>
      </c>
      <c r="C45" s="66">
        <v>3</v>
      </c>
      <c r="D45" s="66">
        <v>6</v>
      </c>
      <c r="E45" s="66">
        <v>3</v>
      </c>
      <c r="F45" s="66">
        <v>0</v>
      </c>
      <c r="G45" s="66">
        <v>0</v>
      </c>
      <c r="H45" s="66">
        <v>0</v>
      </c>
      <c r="I45" s="66">
        <v>0</v>
      </c>
      <c r="J45" s="66">
        <v>1</v>
      </c>
      <c r="K45" s="66">
        <v>0</v>
      </c>
      <c r="L45" s="89">
        <f t="shared" si="1"/>
        <v>0</v>
      </c>
      <c r="M45" s="86">
        <f t="shared" si="9"/>
        <v>1</v>
      </c>
      <c r="N45" s="90">
        <f t="shared" ref="N45" si="14">SUM(M43:M45)</f>
        <v>39.251833629906173</v>
      </c>
      <c r="O45" s="31">
        <f>M45/N45</f>
        <v>2.5476516827944946E-2</v>
      </c>
      <c r="P45" s="31" t="str">
        <f t="shared" si="10"/>
        <v/>
      </c>
      <c r="Q45" s="68">
        <f t="shared" si="2"/>
        <v>0</v>
      </c>
      <c r="R45" s="66">
        <f>IF(O45=MAX(O43:O45),1,0)</f>
        <v>0</v>
      </c>
      <c r="S45" s="45">
        <f t="shared" si="3"/>
        <v>0</v>
      </c>
      <c r="U45" s="45"/>
      <c r="V45" s="66">
        <v>18</v>
      </c>
      <c r="W45" s="66">
        <f t="shared" si="4"/>
        <v>0</v>
      </c>
      <c r="X45" s="66">
        <f t="shared" si="5"/>
        <v>0</v>
      </c>
      <c r="Y45" s="66">
        <f t="shared" si="6"/>
        <v>0</v>
      </c>
      <c r="Z45" s="66">
        <f t="shared" si="7"/>
        <v>0</v>
      </c>
      <c r="AA45" s="66">
        <f t="shared" si="8"/>
        <v>0</v>
      </c>
    </row>
    <row r="46" spans="2:27" s="46" customFormat="1" x14ac:dyDescent="0.25">
      <c r="B46" s="66">
        <v>19</v>
      </c>
      <c r="C46" s="66">
        <v>4</v>
      </c>
      <c r="D46" s="66">
        <v>7</v>
      </c>
      <c r="E46" s="66">
        <v>1</v>
      </c>
      <c r="F46" s="66">
        <v>1</v>
      </c>
      <c r="G46" s="66">
        <v>0</v>
      </c>
      <c r="H46" s="66">
        <v>0</v>
      </c>
      <c r="I46" s="66">
        <v>1</v>
      </c>
      <c r="J46" s="66">
        <v>0</v>
      </c>
      <c r="K46" s="66">
        <v>0</v>
      </c>
      <c r="L46" s="89">
        <f t="shared" si="1"/>
        <v>0</v>
      </c>
      <c r="M46" s="86">
        <f t="shared" si="9"/>
        <v>1</v>
      </c>
      <c r="N46" s="90"/>
      <c r="O46" s="31">
        <f>M46/N48</f>
        <v>2.5476516827944946E-2</v>
      </c>
      <c r="P46" s="31" t="str">
        <f t="shared" si="10"/>
        <v/>
      </c>
      <c r="Q46" s="68">
        <f t="shared" si="2"/>
        <v>0</v>
      </c>
      <c r="R46" s="66">
        <f>IF(O46=MAX(O46:O48),1,0)</f>
        <v>0</v>
      </c>
      <c r="S46" s="45">
        <f t="shared" si="3"/>
        <v>0</v>
      </c>
      <c r="U46" s="45"/>
      <c r="V46" s="66">
        <v>19</v>
      </c>
      <c r="W46" s="66">
        <f t="shared" si="4"/>
        <v>0</v>
      </c>
      <c r="X46" s="66">
        <f t="shared" si="5"/>
        <v>0</v>
      </c>
      <c r="Y46" s="66">
        <f t="shared" si="6"/>
        <v>0</v>
      </c>
      <c r="Z46" s="66">
        <f t="shared" si="7"/>
        <v>0</v>
      </c>
      <c r="AA46" s="66">
        <f t="shared" si="8"/>
        <v>0</v>
      </c>
    </row>
    <row r="47" spans="2:27" s="46" customFormat="1" x14ac:dyDescent="0.25">
      <c r="B47" s="66">
        <v>20</v>
      </c>
      <c r="C47" s="66">
        <v>4</v>
      </c>
      <c r="D47" s="66">
        <v>7</v>
      </c>
      <c r="E47" s="66">
        <v>2</v>
      </c>
      <c r="F47" s="66">
        <v>0</v>
      </c>
      <c r="G47" s="66">
        <v>1</v>
      </c>
      <c r="H47" s="66">
        <v>1</v>
      </c>
      <c r="I47" s="66">
        <v>0</v>
      </c>
      <c r="J47" s="66">
        <v>0</v>
      </c>
      <c r="K47" s="66">
        <v>1</v>
      </c>
      <c r="L47" s="89">
        <f t="shared" si="1"/>
        <v>3.6177011685779839</v>
      </c>
      <c r="M47" s="86">
        <f t="shared" si="9"/>
        <v>37.251833629906173</v>
      </c>
      <c r="N47" s="90"/>
      <c r="O47" s="31">
        <f>M47/N48</f>
        <v>0.94904696634411012</v>
      </c>
      <c r="P47" s="31">
        <f t="shared" si="10"/>
        <v>0.94904696634411012</v>
      </c>
      <c r="Q47" s="68">
        <f t="shared" si="2"/>
        <v>-5.2296991244750797E-2</v>
      </c>
      <c r="R47" s="66">
        <f>IF(O47=MAX(O46:O48),1,0)</f>
        <v>1</v>
      </c>
      <c r="S47" s="45">
        <f t="shared" si="3"/>
        <v>1</v>
      </c>
      <c r="U47" s="45"/>
      <c r="V47" s="66">
        <v>20</v>
      </c>
      <c r="W47" s="66">
        <f t="shared" si="4"/>
        <v>0</v>
      </c>
      <c r="X47" s="66">
        <f t="shared" si="5"/>
        <v>1</v>
      </c>
      <c r="Y47" s="66">
        <f t="shared" si="6"/>
        <v>1</v>
      </c>
      <c r="Z47" s="66">
        <f t="shared" si="7"/>
        <v>0</v>
      </c>
      <c r="AA47" s="66">
        <f t="shared" si="8"/>
        <v>0</v>
      </c>
    </row>
    <row r="48" spans="2:27" s="46" customFormat="1" x14ac:dyDescent="0.25">
      <c r="B48" s="66">
        <v>21</v>
      </c>
      <c r="C48" s="66">
        <v>4</v>
      </c>
      <c r="D48" s="66">
        <v>7</v>
      </c>
      <c r="E48" s="66">
        <v>3</v>
      </c>
      <c r="F48" s="66">
        <v>0</v>
      </c>
      <c r="G48" s="66">
        <v>0</v>
      </c>
      <c r="H48" s="66">
        <v>0</v>
      </c>
      <c r="I48" s="66">
        <v>0</v>
      </c>
      <c r="J48" s="66">
        <v>1</v>
      </c>
      <c r="K48" s="66">
        <v>0</v>
      </c>
      <c r="L48" s="89">
        <f t="shared" si="1"/>
        <v>0</v>
      </c>
      <c r="M48" s="86">
        <f t="shared" si="9"/>
        <v>1</v>
      </c>
      <c r="N48" s="90">
        <f t="shared" ref="N48" si="15">SUM(M46:M48)</f>
        <v>39.251833629906173</v>
      </c>
      <c r="O48" s="31">
        <f>M48/N48</f>
        <v>2.5476516827944946E-2</v>
      </c>
      <c r="P48" s="31" t="str">
        <f t="shared" si="10"/>
        <v/>
      </c>
      <c r="Q48" s="68">
        <f t="shared" si="2"/>
        <v>0</v>
      </c>
      <c r="R48" s="66">
        <f>IF(O48=MAX(O46:O48),1,0)</f>
        <v>0</v>
      </c>
      <c r="S48" s="45">
        <f t="shared" si="3"/>
        <v>0</v>
      </c>
      <c r="U48" s="45"/>
      <c r="V48" s="66">
        <v>21</v>
      </c>
      <c r="W48" s="66">
        <f t="shared" si="4"/>
        <v>0</v>
      </c>
      <c r="X48" s="66">
        <f t="shared" si="5"/>
        <v>0</v>
      </c>
      <c r="Y48" s="66">
        <f t="shared" si="6"/>
        <v>0</v>
      </c>
      <c r="Z48" s="66">
        <f t="shared" si="7"/>
        <v>0</v>
      </c>
      <c r="AA48" s="66">
        <f t="shared" si="8"/>
        <v>0</v>
      </c>
    </row>
    <row r="49" spans="2:41" s="46" customFormat="1" x14ac:dyDescent="0.25">
      <c r="B49" s="66">
        <v>22</v>
      </c>
      <c r="C49" s="66">
        <v>4</v>
      </c>
      <c r="D49" s="66">
        <v>8</v>
      </c>
      <c r="E49" s="66">
        <v>1</v>
      </c>
      <c r="F49" s="66">
        <v>1</v>
      </c>
      <c r="G49" s="66">
        <v>0</v>
      </c>
      <c r="H49" s="66">
        <v>1</v>
      </c>
      <c r="I49" s="66">
        <v>0</v>
      </c>
      <c r="J49" s="66">
        <v>0</v>
      </c>
      <c r="K49" s="66">
        <v>0</v>
      </c>
      <c r="L49" s="89">
        <f t="shared" si="1"/>
        <v>1.2122649719533474</v>
      </c>
      <c r="M49" s="86">
        <f t="shared" si="9"/>
        <v>3.3610888095833951</v>
      </c>
      <c r="N49" s="90"/>
      <c r="O49" s="31">
        <f>M49/N51</f>
        <v>0.21762575059621714</v>
      </c>
      <c r="P49" s="31" t="str">
        <f t="shared" si="10"/>
        <v/>
      </c>
      <c r="Q49" s="68">
        <f t="shared" si="2"/>
        <v>0</v>
      </c>
      <c r="R49" s="66">
        <f>IF(O49=MAX(O49:O51),1,0)</f>
        <v>0</v>
      </c>
      <c r="S49" s="45">
        <f t="shared" si="3"/>
        <v>0</v>
      </c>
      <c r="U49" s="45"/>
      <c r="V49" s="66">
        <v>22</v>
      </c>
      <c r="W49" s="66">
        <f t="shared" si="4"/>
        <v>0</v>
      </c>
      <c r="X49" s="66">
        <f t="shared" si="5"/>
        <v>0</v>
      </c>
      <c r="Y49" s="66">
        <f t="shared" si="6"/>
        <v>0</v>
      </c>
      <c r="Z49" s="66">
        <f t="shared" si="7"/>
        <v>0</v>
      </c>
      <c r="AA49" s="66">
        <f t="shared" si="8"/>
        <v>0</v>
      </c>
    </row>
    <row r="50" spans="2:41" s="46" customFormat="1" x14ac:dyDescent="0.25">
      <c r="B50" s="66">
        <v>23</v>
      </c>
      <c r="C50" s="66">
        <v>4</v>
      </c>
      <c r="D50" s="66">
        <v>8</v>
      </c>
      <c r="E50" s="66">
        <v>2</v>
      </c>
      <c r="F50" s="66">
        <v>0</v>
      </c>
      <c r="G50" s="66">
        <v>1</v>
      </c>
      <c r="H50" s="66">
        <v>0</v>
      </c>
      <c r="I50" s="66">
        <v>1</v>
      </c>
      <c r="J50" s="66">
        <v>0</v>
      </c>
      <c r="K50" s="66">
        <v>1</v>
      </c>
      <c r="L50" s="89">
        <f t="shared" si="1"/>
        <v>2.4054361966246365</v>
      </c>
      <c r="M50" s="86">
        <f t="shared" si="9"/>
        <v>11.083263710167634</v>
      </c>
      <c r="N50" s="90"/>
      <c r="O50" s="31">
        <f>M50/N51</f>
        <v>0.71762566258402793</v>
      </c>
      <c r="P50" s="31">
        <f t="shared" si="10"/>
        <v>0.71762566258402793</v>
      </c>
      <c r="Q50" s="68">
        <f t="shared" si="2"/>
        <v>-0.33180720719355644</v>
      </c>
      <c r="R50" s="66">
        <f>IF(O50=MAX(O49:O51),1,0)</f>
        <v>1</v>
      </c>
      <c r="S50" s="45">
        <f t="shared" si="3"/>
        <v>1</v>
      </c>
      <c r="U50" s="45"/>
      <c r="V50" s="66">
        <v>23</v>
      </c>
      <c r="W50" s="66">
        <f t="shared" si="4"/>
        <v>0</v>
      </c>
      <c r="X50" s="66">
        <f t="shared" si="5"/>
        <v>1</v>
      </c>
      <c r="Y50" s="66">
        <f t="shared" si="6"/>
        <v>0</v>
      </c>
      <c r="Z50" s="66">
        <f t="shared" si="7"/>
        <v>1</v>
      </c>
      <c r="AA50" s="66">
        <f t="shared" si="8"/>
        <v>0</v>
      </c>
    </row>
    <row r="51" spans="2:41" s="46" customFormat="1" x14ac:dyDescent="0.25">
      <c r="B51" s="66">
        <v>24</v>
      </c>
      <c r="C51" s="66">
        <v>4</v>
      </c>
      <c r="D51" s="66">
        <v>8</v>
      </c>
      <c r="E51" s="66">
        <v>3</v>
      </c>
      <c r="F51" s="66">
        <v>0</v>
      </c>
      <c r="G51" s="66">
        <v>0</v>
      </c>
      <c r="H51" s="66">
        <v>0</v>
      </c>
      <c r="I51" s="66">
        <v>0</v>
      </c>
      <c r="J51" s="66">
        <v>1</v>
      </c>
      <c r="K51" s="66">
        <v>0</v>
      </c>
      <c r="L51" s="89">
        <f t="shared" si="1"/>
        <v>0</v>
      </c>
      <c r="M51" s="86">
        <f t="shared" si="9"/>
        <v>1</v>
      </c>
      <c r="N51" s="90">
        <f t="shared" ref="N51" si="16">SUM(M49:M51)</f>
        <v>15.444352519751028</v>
      </c>
      <c r="O51" s="31">
        <f>M51/N51</f>
        <v>6.4748586819754914E-2</v>
      </c>
      <c r="P51" s="31" t="str">
        <f t="shared" si="10"/>
        <v/>
      </c>
      <c r="Q51" s="68">
        <f t="shared" si="2"/>
        <v>0</v>
      </c>
      <c r="R51" s="66">
        <f>IF(O51=MAX(O49:O51),1,0)</f>
        <v>0</v>
      </c>
      <c r="S51" s="45">
        <f t="shared" si="3"/>
        <v>0</v>
      </c>
      <c r="U51" s="45"/>
      <c r="V51" s="66">
        <v>24</v>
      </c>
      <c r="W51" s="66">
        <f t="shared" si="4"/>
        <v>0</v>
      </c>
      <c r="X51" s="66">
        <f t="shared" si="5"/>
        <v>0</v>
      </c>
      <c r="Y51" s="66">
        <f t="shared" si="6"/>
        <v>0</v>
      </c>
      <c r="Z51" s="66">
        <f t="shared" si="7"/>
        <v>0</v>
      </c>
      <c r="AA51" s="66">
        <f t="shared" si="8"/>
        <v>0</v>
      </c>
    </row>
    <row r="52" spans="2:41" s="46" customFormat="1" x14ac:dyDescent="0.25">
      <c r="B52" s="66">
        <v>25</v>
      </c>
      <c r="C52" s="66">
        <v>5</v>
      </c>
      <c r="D52" s="66">
        <v>9</v>
      </c>
      <c r="E52" s="66">
        <v>1</v>
      </c>
      <c r="F52" s="66">
        <v>1</v>
      </c>
      <c r="G52" s="66">
        <v>0</v>
      </c>
      <c r="H52" s="66">
        <v>1</v>
      </c>
      <c r="I52" s="66">
        <v>0</v>
      </c>
      <c r="J52" s="66">
        <v>0</v>
      </c>
      <c r="K52" s="66">
        <v>0</v>
      </c>
      <c r="L52" s="89">
        <f t="shared" si="1"/>
        <v>1.2122649719533474</v>
      </c>
      <c r="M52" s="86">
        <f t="shared" si="9"/>
        <v>3.3610888095833951</v>
      </c>
      <c r="N52" s="90"/>
      <c r="O52" s="31">
        <f>M52/N54</f>
        <v>0.21762575059621714</v>
      </c>
      <c r="P52" s="31" t="str">
        <f t="shared" si="10"/>
        <v/>
      </c>
      <c r="Q52" s="68">
        <f t="shared" si="2"/>
        <v>0</v>
      </c>
      <c r="R52" s="66">
        <f>IF(O52=MAX(O52:O54),1,0)</f>
        <v>0</v>
      </c>
      <c r="S52" s="45">
        <f t="shared" si="3"/>
        <v>0</v>
      </c>
      <c r="U52" s="45"/>
      <c r="V52" s="66">
        <v>25</v>
      </c>
      <c r="W52" s="66">
        <f t="shared" si="4"/>
        <v>0</v>
      </c>
      <c r="X52" s="66">
        <f t="shared" si="5"/>
        <v>0</v>
      </c>
      <c r="Y52" s="66">
        <f t="shared" si="6"/>
        <v>0</v>
      </c>
      <c r="Z52" s="66">
        <f t="shared" si="7"/>
        <v>0</v>
      </c>
      <c r="AA52" s="66">
        <f t="shared" si="8"/>
        <v>0</v>
      </c>
    </row>
    <row r="53" spans="2:41" s="46" customFormat="1" x14ac:dyDescent="0.25">
      <c r="B53" s="66">
        <v>26</v>
      </c>
      <c r="C53" s="66">
        <v>5</v>
      </c>
      <c r="D53" s="66">
        <v>9</v>
      </c>
      <c r="E53" s="66">
        <v>2</v>
      </c>
      <c r="F53" s="66">
        <v>0</v>
      </c>
      <c r="G53" s="66">
        <v>1</v>
      </c>
      <c r="H53" s="66">
        <v>0</v>
      </c>
      <c r="I53" s="66">
        <v>1</v>
      </c>
      <c r="J53" s="66">
        <v>0</v>
      </c>
      <c r="K53" s="66">
        <v>0</v>
      </c>
      <c r="L53" s="89">
        <f t="shared" si="1"/>
        <v>2.4054361966246365</v>
      </c>
      <c r="M53" s="86">
        <f t="shared" si="9"/>
        <v>11.083263710167634</v>
      </c>
      <c r="N53" s="90"/>
      <c r="O53" s="31">
        <f>M53/N54</f>
        <v>0.71762566258402793</v>
      </c>
      <c r="P53" s="31" t="str">
        <f t="shared" si="10"/>
        <v/>
      </c>
      <c r="Q53" s="68">
        <f t="shared" si="2"/>
        <v>0</v>
      </c>
      <c r="R53" s="66">
        <f>IF(O53=MAX(O52:O54),1,0)</f>
        <v>1</v>
      </c>
      <c r="S53" s="45">
        <f t="shared" si="3"/>
        <v>0</v>
      </c>
      <c r="U53" s="45"/>
      <c r="V53" s="66">
        <v>26</v>
      </c>
      <c r="W53" s="66">
        <f t="shared" si="4"/>
        <v>0</v>
      </c>
      <c r="X53" s="66">
        <f t="shared" si="5"/>
        <v>0</v>
      </c>
      <c r="Y53" s="66">
        <f t="shared" si="6"/>
        <v>0</v>
      </c>
      <c r="Z53" s="66">
        <f t="shared" si="7"/>
        <v>0</v>
      </c>
      <c r="AA53" s="66">
        <f t="shared" si="8"/>
        <v>0</v>
      </c>
    </row>
    <row r="54" spans="2:41" s="46" customFormat="1" x14ac:dyDescent="0.25">
      <c r="B54" s="66">
        <v>27</v>
      </c>
      <c r="C54" s="66">
        <v>5</v>
      </c>
      <c r="D54" s="66">
        <v>9</v>
      </c>
      <c r="E54" s="66">
        <v>3</v>
      </c>
      <c r="F54" s="66">
        <v>0</v>
      </c>
      <c r="G54" s="66">
        <v>0</v>
      </c>
      <c r="H54" s="66">
        <v>0</v>
      </c>
      <c r="I54" s="66">
        <v>0</v>
      </c>
      <c r="J54" s="66">
        <v>1</v>
      </c>
      <c r="K54" s="66">
        <v>1</v>
      </c>
      <c r="L54" s="89">
        <f t="shared" si="1"/>
        <v>0</v>
      </c>
      <c r="M54" s="86">
        <f t="shared" si="9"/>
        <v>1</v>
      </c>
      <c r="N54" s="90">
        <f t="shared" ref="N54" si="17">SUM(M52:M54)</f>
        <v>15.444352519751028</v>
      </c>
      <c r="O54" s="31">
        <f>M54/N54</f>
        <v>6.4748586819754914E-2</v>
      </c>
      <c r="P54" s="31">
        <f t="shared" si="10"/>
        <v>6.4748586819754914E-2</v>
      </c>
      <c r="Q54" s="68">
        <f t="shared" si="2"/>
        <v>-2.737243403818193</v>
      </c>
      <c r="R54" s="66">
        <f>IF(O54=MAX(O52:O54),1,0)</f>
        <v>0</v>
      </c>
      <c r="S54" s="45">
        <f t="shared" si="3"/>
        <v>0</v>
      </c>
      <c r="U54" s="45"/>
      <c r="V54" s="66">
        <v>27</v>
      </c>
      <c r="W54" s="66">
        <f t="shared" si="4"/>
        <v>0</v>
      </c>
      <c r="X54" s="66">
        <f t="shared" si="5"/>
        <v>0</v>
      </c>
      <c r="Y54" s="66">
        <f t="shared" si="6"/>
        <v>0</v>
      </c>
      <c r="Z54" s="66">
        <f t="shared" si="7"/>
        <v>0</v>
      </c>
      <c r="AA54" s="66">
        <f t="shared" si="8"/>
        <v>1</v>
      </c>
    </row>
    <row r="55" spans="2:41" s="46" customFormat="1" x14ac:dyDescent="0.25">
      <c r="B55" s="66">
        <v>28</v>
      </c>
      <c r="C55" s="66">
        <v>5</v>
      </c>
      <c r="D55" s="66">
        <v>10</v>
      </c>
      <c r="E55" s="66">
        <v>1</v>
      </c>
      <c r="F55" s="66">
        <v>1</v>
      </c>
      <c r="G55" s="66">
        <v>0</v>
      </c>
      <c r="H55" s="66">
        <v>0</v>
      </c>
      <c r="I55" s="66">
        <v>1</v>
      </c>
      <c r="J55" s="66">
        <v>0</v>
      </c>
      <c r="K55" s="66">
        <v>0</v>
      </c>
      <c r="L55" s="89">
        <f t="shared" si="1"/>
        <v>0</v>
      </c>
      <c r="M55" s="86">
        <f t="shared" si="9"/>
        <v>1</v>
      </c>
      <c r="N55" s="90"/>
      <c r="O55" s="31">
        <f>M55/N57</f>
        <v>2.5476516827944946E-2</v>
      </c>
      <c r="P55" s="31" t="str">
        <f t="shared" si="10"/>
        <v/>
      </c>
      <c r="Q55" s="68">
        <f t="shared" si="2"/>
        <v>0</v>
      </c>
      <c r="R55" s="66">
        <f>IF(O55=MAX(O55:O57),1,0)</f>
        <v>0</v>
      </c>
      <c r="S55" s="45">
        <f t="shared" si="3"/>
        <v>0</v>
      </c>
      <c r="U55" s="45"/>
      <c r="V55" s="66">
        <v>28</v>
      </c>
      <c r="W55" s="66">
        <f t="shared" si="4"/>
        <v>0</v>
      </c>
      <c r="X55" s="66">
        <f t="shared" si="5"/>
        <v>0</v>
      </c>
      <c r="Y55" s="66">
        <f t="shared" si="6"/>
        <v>0</v>
      </c>
      <c r="Z55" s="66">
        <f t="shared" si="7"/>
        <v>0</v>
      </c>
      <c r="AA55" s="66">
        <f t="shared" si="8"/>
        <v>0</v>
      </c>
    </row>
    <row r="56" spans="2:41" s="46" customFormat="1" x14ac:dyDescent="0.25">
      <c r="B56" s="66">
        <v>29</v>
      </c>
      <c r="C56" s="66">
        <v>5</v>
      </c>
      <c r="D56" s="66">
        <v>10</v>
      </c>
      <c r="E56" s="66">
        <v>2</v>
      </c>
      <c r="F56" s="66">
        <v>0</v>
      </c>
      <c r="G56" s="66">
        <v>1</v>
      </c>
      <c r="H56" s="66">
        <v>1</v>
      </c>
      <c r="I56" s="66">
        <v>0</v>
      </c>
      <c r="J56" s="66">
        <v>0</v>
      </c>
      <c r="K56" s="66">
        <v>1</v>
      </c>
      <c r="L56" s="89">
        <f t="shared" si="1"/>
        <v>3.6177011685779839</v>
      </c>
      <c r="M56" s="86">
        <f t="shared" si="9"/>
        <v>37.251833629906173</v>
      </c>
      <c r="N56" s="90"/>
      <c r="O56" s="31">
        <f>M56/N57</f>
        <v>0.94904696634411012</v>
      </c>
      <c r="P56" s="31">
        <f t="shared" si="10"/>
        <v>0.94904696634411012</v>
      </c>
      <c r="Q56" s="68">
        <f t="shared" si="2"/>
        <v>-5.2296991244750797E-2</v>
      </c>
      <c r="R56" s="66">
        <f>IF(O56=MAX(O55:O57),1,0)</f>
        <v>1</v>
      </c>
      <c r="S56" s="45">
        <f t="shared" si="3"/>
        <v>1</v>
      </c>
      <c r="U56" s="45"/>
      <c r="V56" s="66">
        <v>29</v>
      </c>
      <c r="W56" s="66">
        <f t="shared" si="4"/>
        <v>0</v>
      </c>
      <c r="X56" s="66">
        <f t="shared" si="5"/>
        <v>1</v>
      </c>
      <c r="Y56" s="66">
        <f t="shared" si="6"/>
        <v>1</v>
      </c>
      <c r="Z56" s="66">
        <f t="shared" si="7"/>
        <v>0</v>
      </c>
      <c r="AA56" s="66">
        <f t="shared" si="8"/>
        <v>0</v>
      </c>
    </row>
    <row r="57" spans="2:41" s="46" customFormat="1" x14ac:dyDescent="0.25">
      <c r="B57" s="66">
        <v>30</v>
      </c>
      <c r="C57" s="66">
        <v>5</v>
      </c>
      <c r="D57" s="66">
        <v>10</v>
      </c>
      <c r="E57" s="66">
        <v>3</v>
      </c>
      <c r="F57" s="66">
        <v>0</v>
      </c>
      <c r="G57" s="66">
        <v>0</v>
      </c>
      <c r="H57" s="66">
        <v>0</v>
      </c>
      <c r="I57" s="66">
        <v>0</v>
      </c>
      <c r="J57" s="66">
        <v>1</v>
      </c>
      <c r="K57" s="66">
        <v>0</v>
      </c>
      <c r="L57" s="89">
        <f t="shared" si="1"/>
        <v>0</v>
      </c>
      <c r="M57" s="86">
        <f t="shared" si="9"/>
        <v>1</v>
      </c>
      <c r="N57" s="90">
        <f t="shared" ref="N57" si="18">SUM(M55:M57)</f>
        <v>39.251833629906173</v>
      </c>
      <c r="O57" s="31">
        <f>M57/N57</f>
        <v>2.5476516827944946E-2</v>
      </c>
      <c r="P57" s="31" t="str">
        <f t="shared" si="10"/>
        <v/>
      </c>
      <c r="Q57" s="68">
        <f t="shared" si="2"/>
        <v>0</v>
      </c>
      <c r="R57" s="66">
        <f>IF(O57=MAX(O55:O57),1,0)</f>
        <v>0</v>
      </c>
      <c r="S57" s="45">
        <f t="shared" si="3"/>
        <v>0</v>
      </c>
      <c r="U57" s="45"/>
      <c r="V57" s="66">
        <v>30</v>
      </c>
      <c r="W57" s="66">
        <f t="shared" si="4"/>
        <v>0</v>
      </c>
      <c r="X57" s="66">
        <f t="shared" si="5"/>
        <v>0</v>
      </c>
      <c r="Y57" s="66">
        <f t="shared" si="6"/>
        <v>0</v>
      </c>
      <c r="Z57" s="66">
        <f t="shared" si="7"/>
        <v>0</v>
      </c>
      <c r="AA57" s="66">
        <f t="shared" si="8"/>
        <v>0</v>
      </c>
    </row>
    <row r="58" spans="2:41" s="46" customFormat="1" x14ac:dyDescent="0.25">
      <c r="B58" s="66">
        <v>31</v>
      </c>
      <c r="C58" s="66">
        <v>6</v>
      </c>
      <c r="D58" s="66">
        <v>11</v>
      </c>
      <c r="E58" s="66">
        <v>1</v>
      </c>
      <c r="F58" s="66">
        <v>1</v>
      </c>
      <c r="G58" s="66">
        <v>0</v>
      </c>
      <c r="H58" s="66">
        <v>0</v>
      </c>
      <c r="I58" s="66">
        <v>1</v>
      </c>
      <c r="J58" s="66">
        <v>0</v>
      </c>
      <c r="K58" s="66">
        <v>0</v>
      </c>
      <c r="L58" s="89">
        <f t="shared" si="1"/>
        <v>0</v>
      </c>
      <c r="M58" s="86">
        <f t="shared" si="9"/>
        <v>1</v>
      </c>
      <c r="N58" s="90"/>
      <c r="O58" s="31">
        <f>M58/N60</f>
        <v>2.5476516827944946E-2</v>
      </c>
      <c r="P58" s="31" t="str">
        <f t="shared" si="10"/>
        <v/>
      </c>
      <c r="Q58" s="68">
        <f t="shared" si="2"/>
        <v>0</v>
      </c>
      <c r="R58" s="66">
        <f>IF(O58=MAX(O58:O60),1,0)</f>
        <v>0</v>
      </c>
      <c r="S58" s="45">
        <f t="shared" si="3"/>
        <v>0</v>
      </c>
      <c r="U58" s="45"/>
      <c r="V58" s="66">
        <v>31</v>
      </c>
      <c r="W58" s="66">
        <f t="shared" si="4"/>
        <v>0</v>
      </c>
      <c r="X58" s="66">
        <f t="shared" si="5"/>
        <v>0</v>
      </c>
      <c r="Y58" s="66">
        <f t="shared" si="6"/>
        <v>0</v>
      </c>
      <c r="Z58" s="66">
        <f t="shared" si="7"/>
        <v>0</v>
      </c>
      <c r="AA58" s="66">
        <f t="shared" si="8"/>
        <v>0</v>
      </c>
    </row>
    <row r="59" spans="2:41" s="46" customFormat="1" x14ac:dyDescent="0.25">
      <c r="B59" s="66">
        <v>32</v>
      </c>
      <c r="C59" s="66">
        <v>6</v>
      </c>
      <c r="D59" s="66">
        <v>11</v>
      </c>
      <c r="E59" s="66">
        <v>2</v>
      </c>
      <c r="F59" s="66">
        <v>0</v>
      </c>
      <c r="G59" s="66">
        <v>1</v>
      </c>
      <c r="H59" s="66">
        <v>1</v>
      </c>
      <c r="I59" s="66">
        <v>0</v>
      </c>
      <c r="J59" s="66">
        <v>0</v>
      </c>
      <c r="K59" s="66">
        <v>1</v>
      </c>
      <c r="L59" s="89">
        <f t="shared" si="1"/>
        <v>3.6177011685779839</v>
      </c>
      <c r="M59" s="86">
        <f t="shared" si="9"/>
        <v>37.251833629906173</v>
      </c>
      <c r="N59" s="90"/>
      <c r="O59" s="31">
        <f>M59/N60</f>
        <v>0.94904696634411012</v>
      </c>
      <c r="P59" s="31">
        <f t="shared" si="10"/>
        <v>0.94904696634411012</v>
      </c>
      <c r="Q59" s="68">
        <f t="shared" si="2"/>
        <v>-5.2296991244750797E-2</v>
      </c>
      <c r="R59" s="66">
        <f>IF(O59=MAX(O58:O60),1,0)</f>
        <v>1</v>
      </c>
      <c r="S59" s="45">
        <f t="shared" si="3"/>
        <v>1</v>
      </c>
      <c r="U59" s="45"/>
      <c r="V59" s="66">
        <v>32</v>
      </c>
      <c r="W59" s="66">
        <f t="shared" si="4"/>
        <v>0</v>
      </c>
      <c r="X59" s="66">
        <f t="shared" si="5"/>
        <v>1</v>
      </c>
      <c r="Y59" s="66">
        <f t="shared" si="6"/>
        <v>1</v>
      </c>
      <c r="Z59" s="66">
        <f t="shared" si="7"/>
        <v>0</v>
      </c>
      <c r="AA59" s="66">
        <f t="shared" si="8"/>
        <v>0</v>
      </c>
    </row>
    <row r="60" spans="2:41" s="46" customFormat="1" x14ac:dyDescent="0.25">
      <c r="B60" s="66">
        <v>33</v>
      </c>
      <c r="C60" s="66">
        <v>6</v>
      </c>
      <c r="D60" s="66">
        <v>11</v>
      </c>
      <c r="E60" s="66">
        <v>3</v>
      </c>
      <c r="F60" s="66">
        <v>0</v>
      </c>
      <c r="G60" s="66">
        <v>0</v>
      </c>
      <c r="H60" s="66">
        <v>0</v>
      </c>
      <c r="I60" s="66">
        <v>0</v>
      </c>
      <c r="J60" s="66">
        <v>1</v>
      </c>
      <c r="K60" s="66">
        <v>0</v>
      </c>
      <c r="L60" s="89">
        <f t="shared" si="1"/>
        <v>0</v>
      </c>
      <c r="M60" s="86">
        <f t="shared" si="9"/>
        <v>1</v>
      </c>
      <c r="N60" s="90">
        <f t="shared" ref="N60" si="19">SUM(M58:M60)</f>
        <v>39.251833629906173</v>
      </c>
      <c r="O60" s="31">
        <f>M60/N60</f>
        <v>2.5476516827944946E-2</v>
      </c>
      <c r="P60" s="31" t="str">
        <f t="shared" si="10"/>
        <v/>
      </c>
      <c r="Q60" s="68">
        <f t="shared" si="2"/>
        <v>0</v>
      </c>
      <c r="R60" s="66">
        <f>IF(O60=MAX(O58:O60),1,0)</f>
        <v>0</v>
      </c>
      <c r="S60" s="45">
        <f t="shared" si="3"/>
        <v>0</v>
      </c>
      <c r="U60" s="45"/>
      <c r="V60" s="66">
        <v>33</v>
      </c>
      <c r="W60" s="66">
        <f t="shared" si="4"/>
        <v>0</v>
      </c>
      <c r="X60" s="66">
        <f t="shared" si="5"/>
        <v>0</v>
      </c>
      <c r="Y60" s="66">
        <f t="shared" si="6"/>
        <v>0</v>
      </c>
      <c r="Z60" s="66">
        <f t="shared" si="7"/>
        <v>0</v>
      </c>
      <c r="AA60" s="66">
        <f t="shared" si="8"/>
        <v>0</v>
      </c>
    </row>
    <row r="61" spans="2:41" s="46" customFormat="1" x14ac:dyDescent="0.25">
      <c r="B61" s="66">
        <v>34</v>
      </c>
      <c r="C61" s="66">
        <v>6</v>
      </c>
      <c r="D61" s="66">
        <v>12</v>
      </c>
      <c r="E61" s="66">
        <v>1</v>
      </c>
      <c r="F61" s="66">
        <v>1</v>
      </c>
      <c r="G61" s="66">
        <v>0</v>
      </c>
      <c r="H61" s="66">
        <v>1</v>
      </c>
      <c r="I61" s="66">
        <v>0</v>
      </c>
      <c r="J61" s="66">
        <v>0</v>
      </c>
      <c r="K61" s="66">
        <v>0</v>
      </c>
      <c r="L61" s="89">
        <f t="shared" si="1"/>
        <v>1.2122649719533474</v>
      </c>
      <c r="M61" s="86">
        <f t="shared" si="9"/>
        <v>3.3610888095833951</v>
      </c>
      <c r="N61" s="90"/>
      <c r="O61" s="31">
        <f>M61/N63</f>
        <v>0.21762575059621714</v>
      </c>
      <c r="P61" s="31" t="str">
        <f t="shared" si="10"/>
        <v/>
      </c>
      <c r="Q61" s="68">
        <f t="shared" si="2"/>
        <v>0</v>
      </c>
      <c r="R61" s="66">
        <f>IF(O61=MAX(O61:O63),1,0)</f>
        <v>0</v>
      </c>
      <c r="S61" s="45">
        <f t="shared" si="3"/>
        <v>0</v>
      </c>
      <c r="U61" s="45"/>
      <c r="V61" s="66">
        <v>34</v>
      </c>
      <c r="W61" s="66">
        <f t="shared" si="4"/>
        <v>0</v>
      </c>
      <c r="X61" s="66">
        <f t="shared" si="5"/>
        <v>0</v>
      </c>
      <c r="Y61" s="66">
        <f t="shared" si="6"/>
        <v>0</v>
      </c>
      <c r="Z61" s="66">
        <f t="shared" si="7"/>
        <v>0</v>
      </c>
      <c r="AA61" s="66">
        <f t="shared" si="8"/>
        <v>0</v>
      </c>
    </row>
    <row r="62" spans="2:41" s="46" customFormat="1" x14ac:dyDescent="0.25">
      <c r="B62" s="66">
        <v>35</v>
      </c>
      <c r="C62" s="66">
        <v>6</v>
      </c>
      <c r="D62" s="66">
        <v>12</v>
      </c>
      <c r="E62" s="66">
        <v>2</v>
      </c>
      <c r="F62" s="66">
        <v>0</v>
      </c>
      <c r="G62" s="66">
        <v>1</v>
      </c>
      <c r="H62" s="66">
        <v>0</v>
      </c>
      <c r="I62" s="66">
        <v>1</v>
      </c>
      <c r="J62" s="66">
        <v>0</v>
      </c>
      <c r="K62" s="66">
        <v>1</v>
      </c>
      <c r="L62" s="89">
        <f t="shared" si="1"/>
        <v>2.4054361966246365</v>
      </c>
      <c r="M62" s="86">
        <f t="shared" si="9"/>
        <v>11.083263710167634</v>
      </c>
      <c r="N62" s="90"/>
      <c r="O62" s="31">
        <f>M62/N63</f>
        <v>0.71762566258402793</v>
      </c>
      <c r="P62" s="31">
        <f t="shared" si="10"/>
        <v>0.71762566258402793</v>
      </c>
      <c r="Q62" s="68">
        <f t="shared" si="2"/>
        <v>-0.33180720719355644</v>
      </c>
      <c r="R62" s="66">
        <f>IF(O62=MAX(O61:O63),1,0)</f>
        <v>1</v>
      </c>
      <c r="S62" s="45">
        <f t="shared" si="3"/>
        <v>1</v>
      </c>
      <c r="U62" s="45"/>
      <c r="V62" s="66">
        <v>35</v>
      </c>
      <c r="W62" s="66">
        <f t="shared" si="4"/>
        <v>0</v>
      </c>
      <c r="X62" s="66">
        <f t="shared" si="5"/>
        <v>1</v>
      </c>
      <c r="Y62" s="66">
        <f t="shared" si="6"/>
        <v>0</v>
      </c>
      <c r="Z62" s="66">
        <f t="shared" si="7"/>
        <v>1</v>
      </c>
      <c r="AA62" s="66">
        <f t="shared" si="8"/>
        <v>0</v>
      </c>
    </row>
    <row r="63" spans="2:41" s="46" customFormat="1" x14ac:dyDescent="0.25">
      <c r="B63" s="43">
        <v>36</v>
      </c>
      <c r="C63" s="43">
        <v>6</v>
      </c>
      <c r="D63" s="43">
        <v>12</v>
      </c>
      <c r="E63" s="43">
        <v>3</v>
      </c>
      <c r="F63" s="43">
        <v>0</v>
      </c>
      <c r="G63" s="43">
        <v>0</v>
      </c>
      <c r="H63" s="43">
        <v>0</v>
      </c>
      <c r="I63" s="43">
        <v>0</v>
      </c>
      <c r="J63" s="43">
        <v>1</v>
      </c>
      <c r="K63" s="43">
        <v>0</v>
      </c>
      <c r="L63" s="93">
        <f t="shared" si="1"/>
        <v>0</v>
      </c>
      <c r="M63" s="94">
        <f t="shared" si="9"/>
        <v>1</v>
      </c>
      <c r="N63" s="95">
        <f t="shared" ref="N63" si="20">SUM(M61:M63)</f>
        <v>15.444352519751028</v>
      </c>
      <c r="O63" s="36">
        <f>M63/N63</f>
        <v>6.4748586819754914E-2</v>
      </c>
      <c r="P63" s="36" t="str">
        <f t="shared" si="10"/>
        <v/>
      </c>
      <c r="Q63" s="96">
        <f t="shared" si="2"/>
        <v>0</v>
      </c>
      <c r="R63" s="43">
        <f>IF(O63=MAX(O61:O63),1,0)</f>
        <v>0</v>
      </c>
      <c r="S63" s="97">
        <f t="shared" si="3"/>
        <v>0</v>
      </c>
      <c r="U63" s="45"/>
      <c r="V63" s="66">
        <v>36</v>
      </c>
      <c r="W63" s="66">
        <f t="shared" si="4"/>
        <v>0</v>
      </c>
      <c r="X63" s="66">
        <f t="shared" si="5"/>
        <v>0</v>
      </c>
      <c r="Y63" s="66">
        <f t="shared" si="6"/>
        <v>0</v>
      </c>
      <c r="Z63" s="66">
        <f t="shared" si="7"/>
        <v>0</v>
      </c>
      <c r="AA63" s="66">
        <f t="shared" si="8"/>
        <v>0</v>
      </c>
    </row>
    <row r="64" spans="2:41" s="46" customFormat="1" x14ac:dyDescent="0.2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98"/>
      <c r="P64" s="153">
        <f>PRODUCT(P28:P63)</f>
        <v>2.7306035546642276E-3</v>
      </c>
      <c r="Q64" s="151">
        <f>SUM(Q28:Q63)</f>
        <v>-5.9032326119257679</v>
      </c>
      <c r="R64" s="98"/>
      <c r="S64" s="110"/>
      <c r="U64" s="47"/>
      <c r="V64" s="150" t="s">
        <v>136</v>
      </c>
      <c r="W64" s="147">
        <f t="shared" ref="W64:AA64" si="21">SUM(W28:W63)</f>
        <v>1</v>
      </c>
      <c r="X64" s="147">
        <f t="shared" si="21"/>
        <v>10</v>
      </c>
      <c r="Y64" s="147">
        <f t="shared" si="21"/>
        <v>7</v>
      </c>
      <c r="Z64" s="147">
        <f t="shared" si="21"/>
        <v>4</v>
      </c>
      <c r="AA64" s="147">
        <f t="shared" si="21"/>
        <v>1</v>
      </c>
      <c r="AB64" s="48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</row>
    <row r="65" spans="15:30" x14ac:dyDescent="0.25">
      <c r="O65" s="22"/>
      <c r="P65" s="147" t="s">
        <v>17</v>
      </c>
      <c r="Q65" s="151" t="s">
        <v>18</v>
      </c>
      <c r="V65" s="146" t="s">
        <v>137</v>
      </c>
      <c r="W65" s="157">
        <f>W64/$B$15</f>
        <v>8.3333333333333329E-2</v>
      </c>
      <c r="X65" s="157">
        <f t="shared" ref="X65:AA65" si="22">X64/$B$15</f>
        <v>0.83333333333333337</v>
      </c>
      <c r="Y65" s="157">
        <f t="shared" si="22"/>
        <v>0.58333333333333337</v>
      </c>
      <c r="Z65" s="157">
        <f t="shared" si="22"/>
        <v>0.33333333333333331</v>
      </c>
      <c r="AA65" s="157">
        <f t="shared" si="22"/>
        <v>8.3333333333333329E-2</v>
      </c>
    </row>
    <row r="66" spans="15:30" x14ac:dyDescent="0.25">
      <c r="V66" s="146" t="s">
        <v>138</v>
      </c>
      <c r="W66" s="157">
        <f>W65-X65</f>
        <v>-0.75</v>
      </c>
      <c r="X66" s="157">
        <f>X65-X65</f>
        <v>0</v>
      </c>
      <c r="Y66" s="157">
        <f>Y65-Z65</f>
        <v>0.25000000000000006</v>
      </c>
      <c r="Z66" s="157">
        <f>Z65-Z65</f>
        <v>0</v>
      </c>
      <c r="AA66" s="147">
        <v>0</v>
      </c>
    </row>
    <row r="67" spans="15:30" x14ac:dyDescent="0.25">
      <c r="P67" s="146" t="s">
        <v>129</v>
      </c>
      <c r="Q67" s="154">
        <v>-10.831655930097922</v>
      </c>
    </row>
    <row r="68" spans="15:30" x14ac:dyDescent="0.25">
      <c r="P68" s="146" t="s">
        <v>19</v>
      </c>
      <c r="Q68" s="154">
        <v>-5.2079572062538224</v>
      </c>
      <c r="V68" s="70"/>
      <c r="W68" s="39"/>
      <c r="X68" s="39"/>
      <c r="Y68" s="39"/>
      <c r="Z68" s="39"/>
      <c r="AA68" s="39"/>
    </row>
    <row r="69" spans="15:30" x14ac:dyDescent="0.25">
      <c r="P69" s="146" t="s">
        <v>16</v>
      </c>
      <c r="Q69" s="154">
        <v>-13.183347464017315</v>
      </c>
      <c r="V69" s="71"/>
      <c r="W69" s="22"/>
      <c r="X69" s="22"/>
      <c r="Y69" s="22"/>
      <c r="Z69" s="22"/>
      <c r="AA69" s="22"/>
    </row>
    <row r="70" spans="15:30" x14ac:dyDescent="0.25">
      <c r="P70" s="146" t="s">
        <v>20</v>
      </c>
      <c r="Q70" s="154">
        <f>-2*(Q69-Q68)</f>
        <v>15.950780515526985</v>
      </c>
      <c r="V70" s="71"/>
      <c r="W70" s="22"/>
      <c r="X70" s="22"/>
      <c r="Y70" s="22"/>
      <c r="Z70" s="22"/>
      <c r="AA70" s="22"/>
    </row>
    <row r="71" spans="15:30" x14ac:dyDescent="0.25">
      <c r="P71" s="146" t="s">
        <v>130</v>
      </c>
      <c r="Q71" s="155">
        <f>1-_xlfn.CHISQ.DIST(Q70,3,1)</f>
        <v>1.1606387867830747E-3</v>
      </c>
      <c r="V71" s="71"/>
      <c r="W71" s="22"/>
      <c r="X71" s="22"/>
      <c r="Y71" s="22"/>
      <c r="Z71" s="22"/>
      <c r="AA71" s="22"/>
    </row>
    <row r="72" spans="15:30" x14ac:dyDescent="0.25">
      <c r="P72" s="146" t="s">
        <v>22</v>
      </c>
      <c r="Q72" s="154">
        <f>1-(Q68/Q69)</f>
        <v>0.60495942168948802</v>
      </c>
      <c r="V72" s="71"/>
      <c r="W72" s="22"/>
      <c r="X72" s="22"/>
      <c r="Y72" s="22"/>
      <c r="Z72" s="22"/>
      <c r="AA72" s="22"/>
    </row>
    <row r="73" spans="15:30" x14ac:dyDescent="0.25">
      <c r="P73" s="146" t="s">
        <v>131</v>
      </c>
      <c r="Q73" s="156">
        <f>SUM(S28:S63)/B15</f>
        <v>0.83333333333333337</v>
      </c>
      <c r="V73" s="39"/>
      <c r="W73" s="39"/>
      <c r="X73" s="39"/>
      <c r="Y73" s="39"/>
      <c r="Z73" s="39"/>
      <c r="AA73" s="22"/>
    </row>
    <row r="74" spans="15:30" x14ac:dyDescent="0.25">
      <c r="V74" s="39"/>
      <c r="W74" s="39"/>
      <c r="X74" s="39"/>
      <c r="Y74" s="39"/>
      <c r="Z74" s="39"/>
      <c r="AA74" s="22"/>
    </row>
    <row r="75" spans="15:30" x14ac:dyDescent="0.25">
      <c r="P75" s="78" t="s">
        <v>132</v>
      </c>
      <c r="Q75" s="79"/>
      <c r="R75" s="79"/>
      <c r="S75" s="79"/>
      <c r="T75" s="79"/>
      <c r="V75" s="46"/>
      <c r="W75" s="46"/>
      <c r="X75" s="46"/>
      <c r="Y75" s="39"/>
      <c r="Z75" s="39"/>
      <c r="AA75" s="22"/>
    </row>
    <row r="76" spans="15:30" x14ac:dyDescent="0.25">
      <c r="P76" s="78"/>
      <c r="Q76" s="147" t="s">
        <v>21</v>
      </c>
      <c r="R76" s="147" t="s">
        <v>12</v>
      </c>
      <c r="S76" s="147" t="s">
        <v>13</v>
      </c>
      <c r="T76" s="147" t="s">
        <v>133</v>
      </c>
      <c r="V76" s="46"/>
      <c r="W76" s="46"/>
      <c r="X76" s="46"/>
      <c r="Y76" s="39"/>
      <c r="Z76" s="39"/>
      <c r="AA76" s="39"/>
    </row>
    <row r="77" spans="15:30" x14ac:dyDescent="0.25">
      <c r="P77" s="105" t="s">
        <v>47</v>
      </c>
      <c r="Q77" s="19">
        <v>-10.65233130958925</v>
      </c>
      <c r="R77" s="19">
        <f>Q68</f>
        <v>-5.2079572062538224</v>
      </c>
      <c r="S77" s="107">
        <f>-2*(Q77-R77)</f>
        <v>10.888748206670856</v>
      </c>
      <c r="T77" s="109">
        <f>1-_xlfn.CHISQ.DIST(S77,1,1)</f>
        <v>9.6750193242023386E-4</v>
      </c>
      <c r="V77" s="46"/>
      <c r="W77" s="46"/>
      <c r="X77" s="46"/>
      <c r="Y77" s="75"/>
      <c r="Z77" s="75"/>
      <c r="AA77" s="75"/>
    </row>
    <row r="78" spans="15:30" x14ac:dyDescent="0.25">
      <c r="P78" s="105" t="s">
        <v>49</v>
      </c>
      <c r="Q78" s="44">
        <v>-6.7930288675155461</v>
      </c>
      <c r="R78" s="19">
        <f>Q68</f>
        <v>-5.2079572062538224</v>
      </c>
      <c r="S78" s="108">
        <f>-2*(Q78-R78)</f>
        <v>3.1701433225234474</v>
      </c>
      <c r="T78" s="109">
        <f t="shared" ref="T78:T79" si="23">1-_xlfn.CHISQ.DIST(S78,1,1)</f>
        <v>7.4995864941417301E-2</v>
      </c>
      <c r="V78" s="46"/>
      <c r="W78" s="46"/>
      <c r="X78" s="46"/>
      <c r="Y78" s="76"/>
      <c r="Z78" s="76"/>
      <c r="AA78" s="77"/>
    </row>
    <row r="79" spans="15:30" x14ac:dyDescent="0.25">
      <c r="P79" s="78" t="s">
        <v>105</v>
      </c>
      <c r="Q79" s="44">
        <v>-5.9032326119257679</v>
      </c>
      <c r="R79" s="19">
        <f>Q68</f>
        <v>-5.2079572062538224</v>
      </c>
      <c r="S79" s="108">
        <f>-2*(Q79-R79)</f>
        <v>1.3905508113438909</v>
      </c>
      <c r="T79" s="109">
        <f t="shared" si="23"/>
        <v>0.23831210281714765</v>
      </c>
      <c r="V79" s="46"/>
      <c r="W79" s="46"/>
      <c r="X79" s="46"/>
      <c r="AD79" s="64"/>
    </row>
    <row r="80" spans="15:30" x14ac:dyDescent="0.25">
      <c r="P80" s="46"/>
      <c r="Q80" s="46"/>
      <c r="R80" s="46"/>
      <c r="S80" s="46"/>
      <c r="T80" s="46"/>
      <c r="U80" s="46"/>
      <c r="V80" s="72"/>
      <c r="W80" s="73"/>
      <c r="X80" s="46"/>
    </row>
    <row r="81" spans="16:24" x14ac:dyDescent="0.25">
      <c r="P81" s="46"/>
      <c r="Q81" s="46"/>
      <c r="R81" s="46"/>
      <c r="S81" s="46"/>
      <c r="T81" s="46"/>
      <c r="U81" s="46"/>
      <c r="V81" s="72"/>
      <c r="W81" s="74"/>
      <c r="X81" s="46"/>
    </row>
  </sheetData>
  <mergeCells count="4">
    <mergeCell ref="AM10:AN10"/>
    <mergeCell ref="AO10:AP10"/>
    <mergeCell ref="AM11:AN11"/>
    <mergeCell ref="AO11:AP11"/>
  </mergeCells>
  <pageMargins left="0.7" right="0.7" top="0.78740157499999996" bottom="0.78740157499999996" header="0.3" footer="0.3"/>
  <ignoredErrors>
    <ignoredError sqref="X66" formula="1"/>
    <ignoredError sqref="F10:F11" numberStoredAsText="1"/>
  </ignoredErrors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Disclaimer</vt:lpstr>
      <vt:lpstr>Inhaltsverzeichnis</vt:lpstr>
      <vt:lpstr>CA Daten</vt:lpstr>
      <vt:lpstr>CA Daten Teilnutzenwertmodell</vt:lpstr>
      <vt:lpstr>CA Ergebnisse TNW</vt:lpstr>
      <vt:lpstr>CA Daten gemischtes Modell</vt:lpstr>
      <vt:lpstr>CA Ergebnisse gemischtes Modell</vt:lpstr>
      <vt:lpstr>CBC analysis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 Backhaus; Bernd Erichson; Sonja Gensler; Rolf Weiber; Thomas Weiber</dc:creator>
  <cp:lastModifiedBy>Gensler, Sonja</cp:lastModifiedBy>
  <dcterms:created xsi:type="dcterms:W3CDTF">2020-09-02T07:32:43Z</dcterms:created>
  <dcterms:modified xsi:type="dcterms:W3CDTF">2021-09-22T06:18:40Z</dcterms:modified>
</cp:coreProperties>
</file>